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R:\Videnscenter for Neurorehab\Kommunikation\Udgivelser og merch\Værktøjskassen\Træthed\MFI-20\I brug\"/>
    </mc:Choice>
  </mc:AlternateContent>
  <xr:revisionPtr revIDLastSave="0" documentId="13_ncr:1_{68E7EA05-6D26-4554-A73E-C379EE58E0CF}" xr6:coauthVersionLast="47" xr6:coauthVersionMax="47" xr10:uidLastSave="{00000000-0000-0000-0000-000000000000}"/>
  <workbookProtection workbookAlgorithmName="SHA-512" workbookHashValue="TwaF3yE1zwiU1Id/soJ0E9SHmXsz59HfHUxSCW7OEFGfe7yVm4OusA1GOlbcWikr5+7L2L1TRe/+HvGbKPy1FA==" workbookSaltValue="7D02HZh+XU1FBd2tjDxs/g==" workbookSpinCount="100000" lockStructure="1"/>
  <bookViews>
    <workbookView xWindow="-120" yWindow="-120" windowWidth="29040" windowHeight="15720" xr2:uid="{00000000-000D-0000-FFFF-FFFF00000000}"/>
  </bookViews>
  <sheets>
    <sheet name="Forside" sheetId="13" r:id="rId1"/>
    <sheet name="1) Scoringsværktøj" sheetId="4" r:id="rId2"/>
    <sheet name="2) Referencedata" sheetId="16" r:id="rId3"/>
    <sheet name="3) Datagrundlag" sheetId="12" r:id="rId4"/>
    <sheet name="master" sheetId="15" state="hidden" r:id="rId5"/>
    <sheet name="normalitet" sheetId="7" state="hidden" r:id="rId6"/>
    <sheet name="model" sheetId="6" state="hidden" r:id="rId7"/>
    <sheet name="kurver" sheetId="11" state="hidden" r:id="rId8"/>
    <sheet name="spider" sheetId="17" state="hidden" r:id="rId9"/>
  </sheets>
  <definedNames>
    <definedName name="normalkurve">INDEX(kurver!$B$2:$F$34,MATCH(kurver!$O$2,kurver!$A$2:$A$34,0),MATCH(kurver!$K$1,kurver!$B$1:$F$1,0)):INDEX(kurver!$B$2:$F$34,MATCH(kurver!$O$3,kurver!$A$2:$A$34,0),MATCH(kurver!$K$1,kurver!$B$1:$F$1,0))</definedName>
    <definedName name="observeret">OFFSET(kurver!$L$1,1,0,COUNT(kurver!$L$2:$L$46),1)</definedName>
    <definedName name="xaxis">INDEX(kurver!$A$2:$A$34,MATCH(kurver!$O$2,kurver!$A$2:$A$34,0)):INDEX(kurver!$A$2:$A$34,MATCH(kurver!$O$3,kurver!$A$2:$A$34,0))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I105" i="6" l="1"/>
  <c r="CC105" i="6"/>
  <c r="BW105" i="6"/>
  <c r="BQ105" i="6"/>
  <c r="BK105" i="6"/>
  <c r="BE105" i="6"/>
  <c r="AY105" i="6"/>
  <c r="AS105" i="6"/>
  <c r="AS188" i="6"/>
  <c r="AY188" i="6"/>
  <c r="BE188" i="6"/>
  <c r="BK188" i="6"/>
  <c r="BQ188" i="6"/>
  <c r="BW188" i="6"/>
  <c r="CC188" i="6"/>
  <c r="CI188" i="6"/>
  <c r="CI148" i="6"/>
  <c r="CC148" i="6"/>
  <c r="BW148" i="6"/>
  <c r="BQ148" i="6"/>
  <c r="BK148" i="6"/>
  <c r="BE148" i="6"/>
  <c r="AY148" i="6"/>
  <c r="AS148" i="6"/>
  <c r="BD15" i="6"/>
  <c r="BC15" i="6"/>
  <c r="BB15" i="6"/>
  <c r="BA15" i="6"/>
  <c r="AZ15" i="6"/>
  <c r="AX15" i="6"/>
  <c r="AW15" i="6"/>
  <c r="AV15" i="6"/>
  <c r="AU15" i="6"/>
  <c r="AT15" i="6"/>
  <c r="AR15" i="6"/>
  <c r="AQ15" i="6"/>
  <c r="AP15" i="6"/>
  <c r="AO15" i="6"/>
  <c r="AN15" i="6"/>
  <c r="CI189" i="6"/>
  <c r="CI190" i="6" s="1"/>
  <c r="CI191" i="6" s="1"/>
  <c r="CI192" i="6" s="1"/>
  <c r="CI193" i="6" s="1"/>
  <c r="CI194" i="6" s="1"/>
  <c r="CI195" i="6" s="1"/>
  <c r="CI196" i="6" s="1"/>
  <c r="CI197" i="6" s="1"/>
  <c r="CI198" i="6" s="1"/>
  <c r="CI199" i="6" s="1"/>
  <c r="CI200" i="6" s="1"/>
  <c r="CI201" i="6" s="1"/>
  <c r="CI202" i="6" s="1"/>
  <c r="CI203" i="6" s="1"/>
  <c r="CI204" i="6" s="1"/>
  <c r="CI205" i="6" s="1"/>
  <c r="CI206" i="6" s="1"/>
  <c r="CI207" i="6" s="1"/>
  <c r="CI208" i="6" s="1"/>
  <c r="CI209" i="6" s="1"/>
  <c r="CI210" i="6" s="1"/>
  <c r="CI211" i="6" s="1"/>
  <c r="CI212" i="6" s="1"/>
  <c r="CI213" i="6" s="1"/>
  <c r="CI214" i="6" s="1"/>
  <c r="CI215" i="6" s="1"/>
  <c r="CI216" i="6" s="1"/>
  <c r="CI217" i="6" s="1"/>
  <c r="CI218" i="6" s="1"/>
  <c r="CI219" i="6" s="1"/>
  <c r="CI220" i="6" s="1"/>
  <c r="CC189" i="6"/>
  <c r="BW189" i="6"/>
  <c r="BW190" i="6" s="1"/>
  <c r="BW191" i="6" s="1"/>
  <c r="BW192" i="6" s="1"/>
  <c r="BW193" i="6" s="1"/>
  <c r="BW194" i="6" s="1"/>
  <c r="BW195" i="6" s="1"/>
  <c r="BW196" i="6" s="1"/>
  <c r="BW197" i="6" s="1"/>
  <c r="BW198" i="6" s="1"/>
  <c r="BW199" i="6" s="1"/>
  <c r="BW200" i="6" s="1"/>
  <c r="BW201" i="6" s="1"/>
  <c r="BW202" i="6" s="1"/>
  <c r="BW203" i="6" s="1"/>
  <c r="BW204" i="6" s="1"/>
  <c r="BW205" i="6" s="1"/>
  <c r="BW206" i="6" s="1"/>
  <c r="BW207" i="6" s="1"/>
  <c r="BW208" i="6" s="1"/>
  <c r="BW209" i="6" s="1"/>
  <c r="BW210" i="6" s="1"/>
  <c r="BW211" i="6" s="1"/>
  <c r="BW212" i="6" s="1"/>
  <c r="BW213" i="6" s="1"/>
  <c r="BW214" i="6" s="1"/>
  <c r="BW215" i="6" s="1"/>
  <c r="BW216" i="6" s="1"/>
  <c r="BW217" i="6" s="1"/>
  <c r="BW218" i="6" s="1"/>
  <c r="BW219" i="6" s="1"/>
  <c r="BW220" i="6" s="1"/>
  <c r="BQ189" i="6"/>
  <c r="BK189" i="6"/>
  <c r="BK190" i="6" s="1"/>
  <c r="BK191" i="6" s="1"/>
  <c r="BK192" i="6" s="1"/>
  <c r="BK193" i="6" s="1"/>
  <c r="BK194" i="6" s="1"/>
  <c r="BK195" i="6" s="1"/>
  <c r="BK196" i="6" s="1"/>
  <c r="BK197" i="6" s="1"/>
  <c r="BK198" i="6" s="1"/>
  <c r="BK199" i="6" s="1"/>
  <c r="BK200" i="6" s="1"/>
  <c r="BK201" i="6" s="1"/>
  <c r="BK202" i="6" s="1"/>
  <c r="BK203" i="6" s="1"/>
  <c r="BK204" i="6" s="1"/>
  <c r="BK205" i="6" s="1"/>
  <c r="BK206" i="6" s="1"/>
  <c r="BK207" i="6" s="1"/>
  <c r="BK208" i="6" s="1"/>
  <c r="BK209" i="6" s="1"/>
  <c r="BK210" i="6" s="1"/>
  <c r="BK211" i="6" s="1"/>
  <c r="BK212" i="6" s="1"/>
  <c r="BK213" i="6" s="1"/>
  <c r="BK214" i="6" s="1"/>
  <c r="BK215" i="6" s="1"/>
  <c r="BK216" i="6" s="1"/>
  <c r="BK217" i="6" s="1"/>
  <c r="BK218" i="6" s="1"/>
  <c r="BK219" i="6" s="1"/>
  <c r="BK220" i="6" s="1"/>
  <c r="AY189" i="6"/>
  <c r="AY190" i="6" s="1"/>
  <c r="AY191" i="6" s="1"/>
  <c r="AY192" i="6" s="1"/>
  <c r="AY193" i="6" s="1"/>
  <c r="AY194" i="6" s="1"/>
  <c r="AY195" i="6" s="1"/>
  <c r="AY196" i="6" s="1"/>
  <c r="AY197" i="6" s="1"/>
  <c r="AY198" i="6" s="1"/>
  <c r="AY199" i="6" s="1"/>
  <c r="AY200" i="6" s="1"/>
  <c r="AY201" i="6" s="1"/>
  <c r="AY202" i="6" s="1"/>
  <c r="AY203" i="6" s="1"/>
  <c r="AY204" i="6" s="1"/>
  <c r="AY205" i="6" s="1"/>
  <c r="AY206" i="6" s="1"/>
  <c r="AY207" i="6" s="1"/>
  <c r="AY208" i="6" s="1"/>
  <c r="AY209" i="6" s="1"/>
  <c r="AY210" i="6" s="1"/>
  <c r="AY211" i="6" s="1"/>
  <c r="AY212" i="6" s="1"/>
  <c r="AY213" i="6" s="1"/>
  <c r="AY214" i="6" s="1"/>
  <c r="AY215" i="6" s="1"/>
  <c r="AY216" i="6" s="1"/>
  <c r="AY217" i="6" s="1"/>
  <c r="AY218" i="6" s="1"/>
  <c r="AY219" i="6" s="1"/>
  <c r="AY220" i="6" s="1"/>
  <c r="AS189" i="6"/>
  <c r="AM188" i="6"/>
  <c r="AM189" i="6" s="1"/>
  <c r="AM190" i="6" s="1"/>
  <c r="AM191" i="6" s="1"/>
  <c r="AM192" i="6" s="1"/>
  <c r="AM193" i="6" s="1"/>
  <c r="AM194" i="6" s="1"/>
  <c r="AM195" i="6" s="1"/>
  <c r="AM196" i="6" s="1"/>
  <c r="AM197" i="6" s="1"/>
  <c r="AM198" i="6" s="1"/>
  <c r="AM199" i="6" s="1"/>
  <c r="AM200" i="6" s="1"/>
  <c r="AM201" i="6" s="1"/>
  <c r="AM202" i="6" s="1"/>
  <c r="AM203" i="6" s="1"/>
  <c r="AM204" i="6" s="1"/>
  <c r="AM205" i="6" s="1"/>
  <c r="AM206" i="6" s="1"/>
  <c r="AM207" i="6" s="1"/>
  <c r="AM208" i="6" s="1"/>
  <c r="AM209" i="6" s="1"/>
  <c r="AM210" i="6" s="1"/>
  <c r="AM211" i="6" s="1"/>
  <c r="AM212" i="6" s="1"/>
  <c r="AM213" i="6" s="1"/>
  <c r="AM214" i="6" s="1"/>
  <c r="AM215" i="6" s="1"/>
  <c r="AM216" i="6" s="1"/>
  <c r="AM217" i="6" s="1"/>
  <c r="AM218" i="6" s="1"/>
  <c r="AM219" i="6" s="1"/>
  <c r="AM220" i="6" s="1"/>
  <c r="AG188" i="6"/>
  <c r="AG189" i="6" s="1"/>
  <c r="AG190" i="6" s="1"/>
  <c r="AG191" i="6" s="1"/>
  <c r="AG192" i="6" s="1"/>
  <c r="AA188" i="6"/>
  <c r="AA189" i="6" s="1"/>
  <c r="AA190" i="6" s="1"/>
  <c r="AA191" i="6" s="1"/>
  <c r="AA192" i="6" s="1"/>
  <c r="AA193" i="6" s="1"/>
  <c r="AA194" i="6" s="1"/>
  <c r="AA195" i="6" s="1"/>
  <c r="AA196" i="6" s="1"/>
  <c r="AA197" i="6" s="1"/>
  <c r="AA198" i="6" s="1"/>
  <c r="AA199" i="6" s="1"/>
  <c r="AA200" i="6" s="1"/>
  <c r="AA201" i="6" s="1"/>
  <c r="AA202" i="6" s="1"/>
  <c r="AA203" i="6" s="1"/>
  <c r="AA204" i="6" s="1"/>
  <c r="AA205" i="6" s="1"/>
  <c r="AA206" i="6" s="1"/>
  <c r="AA207" i="6" s="1"/>
  <c r="AA208" i="6" s="1"/>
  <c r="AA209" i="6" s="1"/>
  <c r="AA210" i="6" s="1"/>
  <c r="AA211" i="6" s="1"/>
  <c r="AA212" i="6" s="1"/>
  <c r="AA213" i="6" s="1"/>
  <c r="AA214" i="6" s="1"/>
  <c r="AA215" i="6" s="1"/>
  <c r="AA216" i="6" s="1"/>
  <c r="AA217" i="6" s="1"/>
  <c r="AA218" i="6" s="1"/>
  <c r="AA219" i="6" s="1"/>
  <c r="AA220" i="6" s="1"/>
  <c r="U188" i="6"/>
  <c r="CN187" i="6"/>
  <c r="CM187" i="6"/>
  <c r="CL187" i="6"/>
  <c r="CK187" i="6"/>
  <c r="CJ187" i="6"/>
  <c r="CH187" i="6"/>
  <c r="CG187" i="6"/>
  <c r="CF187" i="6"/>
  <c r="CE187" i="6"/>
  <c r="CD187" i="6"/>
  <c r="CB187" i="6"/>
  <c r="CA187" i="6"/>
  <c r="BZ187" i="6"/>
  <c r="BY187" i="6"/>
  <c r="BX187" i="6"/>
  <c r="BV187" i="6"/>
  <c r="BU187" i="6"/>
  <c r="BT187" i="6"/>
  <c r="BS187" i="6"/>
  <c r="BR187" i="6"/>
  <c r="BP187" i="6"/>
  <c r="BO187" i="6"/>
  <c r="BN187" i="6"/>
  <c r="BM187" i="6"/>
  <c r="BL187" i="6"/>
  <c r="BJ187" i="6"/>
  <c r="BI187" i="6"/>
  <c r="BH187" i="6"/>
  <c r="BG187" i="6"/>
  <c r="BF187" i="6"/>
  <c r="BD187" i="6"/>
  <c r="BC187" i="6"/>
  <c r="BB187" i="6"/>
  <c r="BA187" i="6"/>
  <c r="AZ187" i="6"/>
  <c r="AX187" i="6"/>
  <c r="AW187" i="6"/>
  <c r="AV187" i="6"/>
  <c r="AU187" i="6"/>
  <c r="AT187" i="6"/>
  <c r="AR187" i="6"/>
  <c r="AQ187" i="6"/>
  <c r="AP187" i="6"/>
  <c r="AO187" i="6"/>
  <c r="AN187" i="6"/>
  <c r="AL187" i="6"/>
  <c r="AK187" i="6"/>
  <c r="AJ187" i="6"/>
  <c r="AI187" i="6"/>
  <c r="AH187" i="6"/>
  <c r="AF187" i="6"/>
  <c r="AE187" i="6"/>
  <c r="AD187" i="6"/>
  <c r="AC187" i="6"/>
  <c r="AB187" i="6"/>
  <c r="Z187" i="6"/>
  <c r="Y187" i="6"/>
  <c r="X187" i="6"/>
  <c r="W187" i="6"/>
  <c r="V187" i="6"/>
  <c r="C10" i="6"/>
  <c r="V183" i="6" s="1"/>
  <c r="X183" i="6" s="1" a="1"/>
  <c r="X183" i="6" s="1"/>
  <c r="CI149" i="6"/>
  <c r="CI150" i="6" s="1"/>
  <c r="CI151" i="6" s="1"/>
  <c r="CI152" i="6" s="1"/>
  <c r="CI153" i="6" s="1"/>
  <c r="CI154" i="6" s="1"/>
  <c r="CI155" i="6" s="1"/>
  <c r="CI156" i="6" s="1"/>
  <c r="CI157" i="6" s="1"/>
  <c r="CI158" i="6" s="1"/>
  <c r="CI159" i="6" s="1"/>
  <c r="CI160" i="6" s="1"/>
  <c r="CI161" i="6" s="1"/>
  <c r="CI162" i="6" s="1"/>
  <c r="CI163" i="6" s="1"/>
  <c r="CI164" i="6" s="1"/>
  <c r="CI165" i="6" s="1"/>
  <c r="CI166" i="6" s="1"/>
  <c r="CI167" i="6" s="1"/>
  <c r="CI168" i="6" s="1"/>
  <c r="CI169" i="6" s="1"/>
  <c r="CI170" i="6" s="1"/>
  <c r="CI171" i="6" s="1"/>
  <c r="CI172" i="6" s="1"/>
  <c r="CI173" i="6" s="1"/>
  <c r="CI174" i="6" s="1"/>
  <c r="CI175" i="6" s="1"/>
  <c r="CI176" i="6" s="1"/>
  <c r="CI177" i="6" s="1"/>
  <c r="CI178" i="6" s="1"/>
  <c r="CI179" i="6" s="1"/>
  <c r="CI180" i="6" s="1"/>
  <c r="CC149" i="6"/>
  <c r="CC150" i="6" s="1"/>
  <c r="CC151" i="6" s="1"/>
  <c r="CC152" i="6" s="1"/>
  <c r="CC153" i="6" s="1"/>
  <c r="CC154" i="6" s="1"/>
  <c r="CC155" i="6" s="1"/>
  <c r="CC156" i="6" s="1"/>
  <c r="CC157" i="6" s="1"/>
  <c r="CC158" i="6" s="1"/>
  <c r="CC159" i="6" s="1"/>
  <c r="CC160" i="6" s="1"/>
  <c r="CC161" i="6" s="1"/>
  <c r="CC162" i="6" s="1"/>
  <c r="CC163" i="6" s="1"/>
  <c r="CC164" i="6" s="1"/>
  <c r="CC165" i="6" s="1"/>
  <c r="CC166" i="6" s="1"/>
  <c r="CC167" i="6" s="1"/>
  <c r="CC168" i="6" s="1"/>
  <c r="CC169" i="6" s="1"/>
  <c r="CC170" i="6" s="1"/>
  <c r="CC171" i="6" s="1"/>
  <c r="CC172" i="6" s="1"/>
  <c r="CC173" i="6" s="1"/>
  <c r="CC174" i="6" s="1"/>
  <c r="CC175" i="6" s="1"/>
  <c r="CC176" i="6" s="1"/>
  <c r="CC177" i="6" s="1"/>
  <c r="CC178" i="6" s="1"/>
  <c r="CC179" i="6" s="1"/>
  <c r="CC180" i="6" s="1"/>
  <c r="BW149" i="6"/>
  <c r="BW150" i="6" s="1"/>
  <c r="BW151" i="6" s="1"/>
  <c r="BW152" i="6" s="1"/>
  <c r="BW153" i="6" s="1"/>
  <c r="BW154" i="6" s="1"/>
  <c r="BW155" i="6" s="1"/>
  <c r="BW156" i="6" s="1"/>
  <c r="BW157" i="6" s="1"/>
  <c r="BW158" i="6" s="1"/>
  <c r="BW159" i="6" s="1"/>
  <c r="BW160" i="6" s="1"/>
  <c r="BW161" i="6" s="1"/>
  <c r="BW162" i="6" s="1"/>
  <c r="BW163" i="6" s="1"/>
  <c r="BW164" i="6" s="1"/>
  <c r="BW165" i="6" s="1"/>
  <c r="BW166" i="6" s="1"/>
  <c r="BW167" i="6" s="1"/>
  <c r="BW168" i="6" s="1"/>
  <c r="BW169" i="6" s="1"/>
  <c r="BW170" i="6" s="1"/>
  <c r="BW171" i="6" s="1"/>
  <c r="BW172" i="6" s="1"/>
  <c r="BW173" i="6" s="1"/>
  <c r="BW174" i="6" s="1"/>
  <c r="BW175" i="6" s="1"/>
  <c r="BW176" i="6" s="1"/>
  <c r="BW177" i="6" s="1"/>
  <c r="BW178" i="6" s="1"/>
  <c r="BW179" i="6" s="1"/>
  <c r="BW180" i="6" s="1"/>
  <c r="BQ149" i="6"/>
  <c r="BQ150" i="6" s="1"/>
  <c r="BQ151" i="6" s="1"/>
  <c r="BQ152" i="6" s="1"/>
  <c r="BQ153" i="6" s="1"/>
  <c r="BQ154" i="6" s="1"/>
  <c r="BQ155" i="6" s="1"/>
  <c r="BQ156" i="6" s="1"/>
  <c r="BQ157" i="6" s="1"/>
  <c r="BQ158" i="6" s="1"/>
  <c r="BQ159" i="6" s="1"/>
  <c r="BQ160" i="6" s="1"/>
  <c r="BQ161" i="6" s="1"/>
  <c r="BQ162" i="6" s="1"/>
  <c r="BQ163" i="6" s="1"/>
  <c r="BQ164" i="6" s="1"/>
  <c r="BQ165" i="6" s="1"/>
  <c r="BQ166" i="6" s="1"/>
  <c r="BQ167" i="6" s="1"/>
  <c r="BQ168" i="6" s="1"/>
  <c r="BQ169" i="6" s="1"/>
  <c r="BQ170" i="6" s="1"/>
  <c r="BQ171" i="6" s="1"/>
  <c r="BQ172" i="6" s="1"/>
  <c r="BQ173" i="6" s="1"/>
  <c r="BQ174" i="6" s="1"/>
  <c r="BQ175" i="6" s="1"/>
  <c r="BQ176" i="6" s="1"/>
  <c r="BQ177" i="6" s="1"/>
  <c r="BQ178" i="6" s="1"/>
  <c r="BQ179" i="6" s="1"/>
  <c r="BQ180" i="6" s="1"/>
  <c r="BK149" i="6"/>
  <c r="BK150" i="6" s="1"/>
  <c r="BK151" i="6" s="1"/>
  <c r="BK152" i="6" s="1"/>
  <c r="BK153" i="6" s="1"/>
  <c r="BK154" i="6" s="1"/>
  <c r="BK155" i="6" s="1"/>
  <c r="BK156" i="6" s="1"/>
  <c r="BK157" i="6" s="1"/>
  <c r="BK158" i="6" s="1"/>
  <c r="BK159" i="6" s="1"/>
  <c r="BK160" i="6" s="1"/>
  <c r="BK161" i="6" s="1"/>
  <c r="BK162" i="6" s="1"/>
  <c r="BK163" i="6" s="1"/>
  <c r="BK164" i="6" s="1"/>
  <c r="BK165" i="6" s="1"/>
  <c r="BK166" i="6" s="1"/>
  <c r="BK167" i="6" s="1"/>
  <c r="BK168" i="6" s="1"/>
  <c r="BK169" i="6" s="1"/>
  <c r="BK170" i="6" s="1"/>
  <c r="BK171" i="6" s="1"/>
  <c r="BK172" i="6" s="1"/>
  <c r="BK173" i="6" s="1"/>
  <c r="BK174" i="6" s="1"/>
  <c r="BK175" i="6" s="1"/>
  <c r="BK176" i="6" s="1"/>
  <c r="BK177" i="6" s="1"/>
  <c r="BK178" i="6" s="1"/>
  <c r="BK179" i="6" s="1"/>
  <c r="BK180" i="6" s="1"/>
  <c r="BE149" i="6"/>
  <c r="BE150" i="6" s="1"/>
  <c r="BE151" i="6" s="1"/>
  <c r="BE152" i="6" s="1"/>
  <c r="BE153" i="6" s="1"/>
  <c r="BE154" i="6" s="1"/>
  <c r="BE155" i="6" s="1"/>
  <c r="BE156" i="6" s="1"/>
  <c r="BE157" i="6" s="1"/>
  <c r="BE158" i="6" s="1"/>
  <c r="BE159" i="6" s="1"/>
  <c r="BE160" i="6" s="1"/>
  <c r="BE161" i="6" s="1"/>
  <c r="BE162" i="6" s="1"/>
  <c r="BE163" i="6" s="1"/>
  <c r="BE164" i="6" s="1"/>
  <c r="BE165" i="6" s="1"/>
  <c r="BE166" i="6" s="1"/>
  <c r="BE167" i="6" s="1"/>
  <c r="BE168" i="6" s="1"/>
  <c r="BE169" i="6" s="1"/>
  <c r="BE170" i="6" s="1"/>
  <c r="BE171" i="6" s="1"/>
  <c r="BE172" i="6" s="1"/>
  <c r="BE173" i="6" s="1"/>
  <c r="BE174" i="6" s="1"/>
  <c r="BE175" i="6" s="1"/>
  <c r="BE176" i="6" s="1"/>
  <c r="BE177" i="6" s="1"/>
  <c r="BE178" i="6" s="1"/>
  <c r="BE179" i="6" s="1"/>
  <c r="BE180" i="6" s="1"/>
  <c r="AY149" i="6"/>
  <c r="AY150" i="6" s="1"/>
  <c r="AY151" i="6" s="1"/>
  <c r="AY152" i="6" s="1"/>
  <c r="AY153" i="6" s="1"/>
  <c r="AY154" i="6" s="1"/>
  <c r="AY155" i="6" s="1"/>
  <c r="AY156" i="6" s="1"/>
  <c r="AY157" i="6" s="1"/>
  <c r="AY158" i="6" s="1"/>
  <c r="AY159" i="6" s="1"/>
  <c r="AY160" i="6" s="1"/>
  <c r="AY161" i="6" s="1"/>
  <c r="AY162" i="6" s="1"/>
  <c r="AY163" i="6" s="1"/>
  <c r="AY164" i="6" s="1"/>
  <c r="AY165" i="6" s="1"/>
  <c r="AY166" i="6" s="1"/>
  <c r="AY167" i="6" s="1"/>
  <c r="AY168" i="6" s="1"/>
  <c r="AY169" i="6" s="1"/>
  <c r="AY170" i="6" s="1"/>
  <c r="AY171" i="6" s="1"/>
  <c r="AY172" i="6" s="1"/>
  <c r="AY173" i="6" s="1"/>
  <c r="AY174" i="6" s="1"/>
  <c r="AY175" i="6" s="1"/>
  <c r="AY176" i="6" s="1"/>
  <c r="AY177" i="6" s="1"/>
  <c r="AY178" i="6" s="1"/>
  <c r="AY179" i="6" s="1"/>
  <c r="AY180" i="6" s="1"/>
  <c r="AS149" i="6"/>
  <c r="AS150" i="6" s="1"/>
  <c r="AS151" i="6" s="1"/>
  <c r="AS152" i="6" s="1"/>
  <c r="AS153" i="6" s="1"/>
  <c r="AS154" i="6" s="1"/>
  <c r="AS155" i="6" s="1"/>
  <c r="AS156" i="6" s="1"/>
  <c r="AS157" i="6" s="1"/>
  <c r="AS158" i="6" s="1"/>
  <c r="AS159" i="6" s="1"/>
  <c r="AS160" i="6" s="1"/>
  <c r="AS161" i="6" s="1"/>
  <c r="AS162" i="6" s="1"/>
  <c r="AS163" i="6" s="1"/>
  <c r="AS164" i="6" s="1"/>
  <c r="AS165" i="6" s="1"/>
  <c r="AS166" i="6" s="1"/>
  <c r="AS167" i="6" s="1"/>
  <c r="AS168" i="6" s="1"/>
  <c r="AS169" i="6" s="1"/>
  <c r="AS170" i="6" s="1"/>
  <c r="AS171" i="6" s="1"/>
  <c r="AS172" i="6" s="1"/>
  <c r="AS173" i="6" s="1"/>
  <c r="AS174" i="6" s="1"/>
  <c r="AS175" i="6" s="1"/>
  <c r="AS176" i="6" s="1"/>
  <c r="AS177" i="6" s="1"/>
  <c r="AS178" i="6" s="1"/>
  <c r="AS179" i="6" s="1"/>
  <c r="AS180" i="6" s="1"/>
  <c r="AM148" i="6"/>
  <c r="AM149" i="6" s="1"/>
  <c r="AM150" i="6" s="1"/>
  <c r="AM151" i="6" s="1"/>
  <c r="AM152" i="6" s="1"/>
  <c r="AM153" i="6" s="1"/>
  <c r="AM154" i="6" s="1"/>
  <c r="AM155" i="6" s="1"/>
  <c r="AM156" i="6" s="1"/>
  <c r="AM157" i="6" s="1"/>
  <c r="AM158" i="6" s="1"/>
  <c r="AM159" i="6" s="1"/>
  <c r="AM160" i="6" s="1"/>
  <c r="AM161" i="6" s="1"/>
  <c r="AM162" i="6" s="1"/>
  <c r="AM163" i="6" s="1"/>
  <c r="AM164" i="6" s="1"/>
  <c r="AM165" i="6" s="1"/>
  <c r="AM166" i="6" s="1"/>
  <c r="AM167" i="6" s="1"/>
  <c r="AM168" i="6" s="1"/>
  <c r="AM169" i="6" s="1"/>
  <c r="AM170" i="6" s="1"/>
  <c r="AM171" i="6" s="1"/>
  <c r="AM172" i="6" s="1"/>
  <c r="AM173" i="6" s="1"/>
  <c r="AM174" i="6" s="1"/>
  <c r="AM175" i="6" s="1"/>
  <c r="AM176" i="6" s="1"/>
  <c r="AM177" i="6" s="1"/>
  <c r="AM178" i="6" s="1"/>
  <c r="AM179" i="6" s="1"/>
  <c r="AM180" i="6" s="1"/>
  <c r="AG148" i="6"/>
  <c r="AG149" i="6" s="1"/>
  <c r="AG150" i="6" s="1"/>
  <c r="AG151" i="6" s="1"/>
  <c r="AG152" i="6" s="1"/>
  <c r="AG153" i="6" s="1"/>
  <c r="AG154" i="6" s="1"/>
  <c r="AG155" i="6" s="1"/>
  <c r="AG156" i="6" s="1"/>
  <c r="AG157" i="6" s="1"/>
  <c r="AG158" i="6" s="1"/>
  <c r="AG159" i="6" s="1"/>
  <c r="AG160" i="6" s="1"/>
  <c r="AG161" i="6" s="1"/>
  <c r="AG162" i="6" s="1"/>
  <c r="AG163" i="6" s="1"/>
  <c r="AG164" i="6" s="1"/>
  <c r="AG165" i="6" s="1"/>
  <c r="AG166" i="6" s="1"/>
  <c r="AG167" i="6" s="1"/>
  <c r="AG168" i="6" s="1"/>
  <c r="AG169" i="6" s="1"/>
  <c r="AG170" i="6" s="1"/>
  <c r="AG171" i="6" s="1"/>
  <c r="AG172" i="6" s="1"/>
  <c r="AG173" i="6" s="1"/>
  <c r="AG174" i="6" s="1"/>
  <c r="AG175" i="6" s="1"/>
  <c r="AG176" i="6" s="1"/>
  <c r="AG177" i="6" s="1"/>
  <c r="AG178" i="6" s="1"/>
  <c r="AG179" i="6" s="1"/>
  <c r="AG180" i="6" s="1"/>
  <c r="AA148" i="6"/>
  <c r="AA149" i="6" s="1"/>
  <c r="AA150" i="6" s="1"/>
  <c r="AA151" i="6" s="1"/>
  <c r="AA152" i="6" s="1"/>
  <c r="AA153" i="6" s="1"/>
  <c r="AA154" i="6" s="1"/>
  <c r="AA155" i="6" s="1"/>
  <c r="AA156" i="6" s="1"/>
  <c r="AA157" i="6" s="1"/>
  <c r="AA158" i="6" s="1"/>
  <c r="AA159" i="6" s="1"/>
  <c r="AA160" i="6" s="1"/>
  <c r="AA161" i="6" s="1"/>
  <c r="AA162" i="6" s="1"/>
  <c r="AA163" i="6" s="1"/>
  <c r="AA164" i="6" s="1"/>
  <c r="AA165" i="6" s="1"/>
  <c r="AA166" i="6" s="1"/>
  <c r="AA167" i="6" s="1"/>
  <c r="AA168" i="6" s="1"/>
  <c r="AA169" i="6" s="1"/>
  <c r="AA170" i="6" s="1"/>
  <c r="AA171" i="6" s="1"/>
  <c r="AA172" i="6" s="1"/>
  <c r="AA173" i="6" s="1"/>
  <c r="AA174" i="6" s="1"/>
  <c r="AA175" i="6" s="1"/>
  <c r="AA176" i="6" s="1"/>
  <c r="AA177" i="6" s="1"/>
  <c r="AA178" i="6" s="1"/>
  <c r="AA179" i="6" s="1"/>
  <c r="AA180" i="6" s="1"/>
  <c r="U148" i="6"/>
  <c r="U149" i="6" s="1"/>
  <c r="U150" i="6" s="1"/>
  <c r="U151" i="6" s="1"/>
  <c r="U152" i="6" s="1"/>
  <c r="U153" i="6" s="1"/>
  <c r="U154" i="6" s="1"/>
  <c r="U155" i="6" s="1"/>
  <c r="U156" i="6" s="1"/>
  <c r="U157" i="6" s="1"/>
  <c r="U158" i="6" s="1"/>
  <c r="U159" i="6" s="1"/>
  <c r="U160" i="6" s="1"/>
  <c r="U161" i="6" s="1"/>
  <c r="U162" i="6" s="1"/>
  <c r="U163" i="6" s="1"/>
  <c r="U164" i="6" s="1"/>
  <c r="U165" i="6" s="1"/>
  <c r="U166" i="6" s="1"/>
  <c r="U167" i="6" s="1"/>
  <c r="U168" i="6" s="1"/>
  <c r="U169" i="6" s="1"/>
  <c r="U170" i="6" s="1"/>
  <c r="U171" i="6" s="1"/>
  <c r="U172" i="6" s="1"/>
  <c r="U173" i="6" s="1"/>
  <c r="U174" i="6" s="1"/>
  <c r="U175" i="6" s="1"/>
  <c r="U176" i="6" s="1"/>
  <c r="U177" i="6" s="1"/>
  <c r="U178" i="6" s="1"/>
  <c r="U179" i="6" s="1"/>
  <c r="U180" i="6" s="1"/>
  <c r="CN147" i="6"/>
  <c r="CM147" i="6"/>
  <c r="CL147" i="6"/>
  <c r="CK147" i="6"/>
  <c r="CJ147" i="6"/>
  <c r="CH147" i="6"/>
  <c r="CG147" i="6"/>
  <c r="CF147" i="6"/>
  <c r="CE147" i="6"/>
  <c r="CD147" i="6"/>
  <c r="CB147" i="6"/>
  <c r="CA147" i="6"/>
  <c r="BZ147" i="6"/>
  <c r="BY147" i="6"/>
  <c r="BX147" i="6"/>
  <c r="BV147" i="6"/>
  <c r="BU147" i="6"/>
  <c r="BT147" i="6"/>
  <c r="BS147" i="6"/>
  <c r="BR147" i="6"/>
  <c r="BP147" i="6"/>
  <c r="BO147" i="6"/>
  <c r="BN147" i="6"/>
  <c r="BM147" i="6"/>
  <c r="BL147" i="6"/>
  <c r="BJ147" i="6"/>
  <c r="BI147" i="6"/>
  <c r="BH147" i="6"/>
  <c r="BG147" i="6"/>
  <c r="BF147" i="6"/>
  <c r="BD147" i="6"/>
  <c r="BC147" i="6"/>
  <c r="BB147" i="6"/>
  <c r="BA147" i="6"/>
  <c r="AZ147" i="6"/>
  <c r="AX147" i="6"/>
  <c r="AW147" i="6"/>
  <c r="AV147" i="6"/>
  <c r="AU147" i="6"/>
  <c r="AT147" i="6"/>
  <c r="AR147" i="6"/>
  <c r="AQ147" i="6"/>
  <c r="AP147" i="6"/>
  <c r="AO147" i="6"/>
  <c r="AN147" i="6"/>
  <c r="AL147" i="6"/>
  <c r="AK147" i="6"/>
  <c r="AJ147" i="6"/>
  <c r="AI147" i="6"/>
  <c r="AH147" i="6"/>
  <c r="AF147" i="6"/>
  <c r="AE147" i="6"/>
  <c r="AD147" i="6"/>
  <c r="AC147" i="6"/>
  <c r="AB147" i="6"/>
  <c r="Z147" i="6"/>
  <c r="Y147" i="6"/>
  <c r="X147" i="6"/>
  <c r="W147" i="6"/>
  <c r="V147" i="6"/>
  <c r="CI106" i="6"/>
  <c r="CI107" i="6" s="1"/>
  <c r="CI108" i="6" s="1"/>
  <c r="CI109" i="6" s="1"/>
  <c r="CI110" i="6" s="1"/>
  <c r="CI111" i="6" s="1"/>
  <c r="CI112" i="6" s="1"/>
  <c r="CI113" i="6" s="1"/>
  <c r="CI114" i="6" s="1"/>
  <c r="CI115" i="6" s="1"/>
  <c r="CI116" i="6" s="1"/>
  <c r="CI117" i="6" s="1"/>
  <c r="CI118" i="6" s="1"/>
  <c r="CI119" i="6" s="1"/>
  <c r="CI120" i="6" s="1"/>
  <c r="CI121" i="6" s="1"/>
  <c r="CI122" i="6" s="1"/>
  <c r="CI123" i="6" s="1"/>
  <c r="CI124" i="6" s="1"/>
  <c r="CI125" i="6" s="1"/>
  <c r="CI126" i="6" s="1"/>
  <c r="CI127" i="6" s="1"/>
  <c r="CI128" i="6" s="1"/>
  <c r="CI129" i="6" s="1"/>
  <c r="CI130" i="6" s="1"/>
  <c r="CI131" i="6" s="1"/>
  <c r="CI132" i="6" s="1"/>
  <c r="CI133" i="6" s="1"/>
  <c r="CI134" i="6" s="1"/>
  <c r="CI135" i="6" s="1"/>
  <c r="CI136" i="6" s="1"/>
  <c r="CI137" i="6" s="1"/>
  <c r="CC106" i="6"/>
  <c r="CC107" i="6" s="1"/>
  <c r="CC108" i="6" s="1"/>
  <c r="CC109" i="6" s="1"/>
  <c r="CC110" i="6" s="1"/>
  <c r="CC111" i="6" s="1"/>
  <c r="CC112" i="6" s="1"/>
  <c r="CC113" i="6" s="1"/>
  <c r="CC114" i="6" s="1"/>
  <c r="CC115" i="6" s="1"/>
  <c r="CC116" i="6" s="1"/>
  <c r="CC117" i="6" s="1"/>
  <c r="CC118" i="6" s="1"/>
  <c r="CC119" i="6" s="1"/>
  <c r="CC120" i="6" s="1"/>
  <c r="CC121" i="6" s="1"/>
  <c r="CC122" i="6" s="1"/>
  <c r="CC123" i="6" s="1"/>
  <c r="CC124" i="6" s="1"/>
  <c r="CC125" i="6" s="1"/>
  <c r="CC126" i="6" s="1"/>
  <c r="CC127" i="6" s="1"/>
  <c r="CC128" i="6" s="1"/>
  <c r="CC129" i="6" s="1"/>
  <c r="CC130" i="6" s="1"/>
  <c r="CC131" i="6" s="1"/>
  <c r="CC132" i="6" s="1"/>
  <c r="CC133" i="6" s="1"/>
  <c r="CC134" i="6" s="1"/>
  <c r="CC135" i="6" s="1"/>
  <c r="CC136" i="6" s="1"/>
  <c r="CC137" i="6" s="1"/>
  <c r="CN104" i="6"/>
  <c r="CM104" i="6"/>
  <c r="CL104" i="6"/>
  <c r="CK104" i="6"/>
  <c r="CJ104" i="6"/>
  <c r="CH104" i="6"/>
  <c r="CG104" i="6"/>
  <c r="CF104" i="6"/>
  <c r="CE104" i="6"/>
  <c r="CD104" i="6"/>
  <c r="BW106" i="6"/>
  <c r="BW107" i="6" s="1"/>
  <c r="BW108" i="6" s="1"/>
  <c r="BW109" i="6" s="1"/>
  <c r="BW110" i="6" s="1"/>
  <c r="BW111" i="6" s="1"/>
  <c r="BW112" i="6" s="1"/>
  <c r="BW113" i="6" s="1"/>
  <c r="BW114" i="6" s="1"/>
  <c r="BW115" i="6" s="1"/>
  <c r="BW116" i="6" s="1"/>
  <c r="BW117" i="6" s="1"/>
  <c r="BW118" i="6" s="1"/>
  <c r="BW119" i="6" s="1"/>
  <c r="BW120" i="6" s="1"/>
  <c r="BW121" i="6" s="1"/>
  <c r="BW122" i="6" s="1"/>
  <c r="BW123" i="6" s="1"/>
  <c r="BW124" i="6" s="1"/>
  <c r="BW125" i="6" s="1"/>
  <c r="BW126" i="6" s="1"/>
  <c r="BW127" i="6" s="1"/>
  <c r="BW128" i="6" s="1"/>
  <c r="BW129" i="6" s="1"/>
  <c r="BW130" i="6" s="1"/>
  <c r="BW131" i="6" s="1"/>
  <c r="BW132" i="6" s="1"/>
  <c r="BW133" i="6" s="1"/>
  <c r="BW134" i="6" s="1"/>
  <c r="BW135" i="6" s="1"/>
  <c r="BW136" i="6" s="1"/>
  <c r="BW137" i="6" s="1"/>
  <c r="BQ106" i="6"/>
  <c r="BQ107" i="6" s="1"/>
  <c r="BQ108" i="6" s="1"/>
  <c r="BQ109" i="6" s="1"/>
  <c r="BQ110" i="6" s="1"/>
  <c r="BQ111" i="6" s="1"/>
  <c r="BQ112" i="6" s="1"/>
  <c r="BQ113" i="6" s="1"/>
  <c r="BQ114" i="6" s="1"/>
  <c r="BQ115" i="6" s="1"/>
  <c r="BQ116" i="6" s="1"/>
  <c r="BQ117" i="6" s="1"/>
  <c r="BQ118" i="6" s="1"/>
  <c r="BQ119" i="6" s="1"/>
  <c r="BQ120" i="6" s="1"/>
  <c r="BQ121" i="6" s="1"/>
  <c r="BQ122" i="6" s="1"/>
  <c r="BQ123" i="6" s="1"/>
  <c r="BQ124" i="6" s="1"/>
  <c r="BQ125" i="6" s="1"/>
  <c r="BQ126" i="6" s="1"/>
  <c r="BQ127" i="6" s="1"/>
  <c r="BQ128" i="6" s="1"/>
  <c r="BQ129" i="6" s="1"/>
  <c r="BQ130" i="6" s="1"/>
  <c r="BQ131" i="6" s="1"/>
  <c r="BQ132" i="6" s="1"/>
  <c r="BQ133" i="6" s="1"/>
  <c r="BQ134" i="6" s="1"/>
  <c r="BQ135" i="6" s="1"/>
  <c r="BQ136" i="6" s="1"/>
  <c r="BQ137" i="6" s="1"/>
  <c r="CB104" i="6"/>
  <c r="CA104" i="6"/>
  <c r="BZ104" i="6"/>
  <c r="BY104" i="6"/>
  <c r="BX104" i="6"/>
  <c r="BV104" i="6"/>
  <c r="BU104" i="6"/>
  <c r="BT104" i="6"/>
  <c r="BS104" i="6"/>
  <c r="BR104" i="6"/>
  <c r="BK106" i="6"/>
  <c r="BK107" i="6" s="1"/>
  <c r="BK108" i="6" s="1"/>
  <c r="BK109" i="6" s="1"/>
  <c r="BK110" i="6" s="1"/>
  <c r="BK111" i="6" s="1"/>
  <c r="BK112" i="6" s="1"/>
  <c r="BK113" i="6" s="1"/>
  <c r="BK114" i="6" s="1"/>
  <c r="BK115" i="6" s="1"/>
  <c r="BK116" i="6" s="1"/>
  <c r="BK117" i="6" s="1"/>
  <c r="BK118" i="6" s="1"/>
  <c r="BK119" i="6" s="1"/>
  <c r="BK120" i="6" s="1"/>
  <c r="BK121" i="6" s="1"/>
  <c r="BK122" i="6" s="1"/>
  <c r="BK123" i="6" s="1"/>
  <c r="BK124" i="6" s="1"/>
  <c r="BK125" i="6" s="1"/>
  <c r="BK126" i="6" s="1"/>
  <c r="BK127" i="6" s="1"/>
  <c r="BK128" i="6" s="1"/>
  <c r="BK129" i="6" s="1"/>
  <c r="BK130" i="6" s="1"/>
  <c r="BK131" i="6" s="1"/>
  <c r="BK132" i="6" s="1"/>
  <c r="BK133" i="6" s="1"/>
  <c r="BK134" i="6" s="1"/>
  <c r="BK135" i="6" s="1"/>
  <c r="BK136" i="6" s="1"/>
  <c r="BK137" i="6" s="1"/>
  <c r="BE106" i="6"/>
  <c r="BE107" i="6" s="1"/>
  <c r="BE108" i="6" s="1"/>
  <c r="BE109" i="6" s="1"/>
  <c r="BE110" i="6" s="1"/>
  <c r="BE111" i="6" s="1"/>
  <c r="BE112" i="6" s="1"/>
  <c r="BE113" i="6" s="1"/>
  <c r="BE114" i="6" s="1"/>
  <c r="BE115" i="6" s="1"/>
  <c r="BE116" i="6" s="1"/>
  <c r="BE117" i="6" s="1"/>
  <c r="BE118" i="6" s="1"/>
  <c r="BE119" i="6" s="1"/>
  <c r="BE120" i="6" s="1"/>
  <c r="BE121" i="6" s="1"/>
  <c r="BE122" i="6" s="1"/>
  <c r="BE123" i="6" s="1"/>
  <c r="BE124" i="6" s="1"/>
  <c r="BE125" i="6" s="1"/>
  <c r="BE126" i="6" s="1"/>
  <c r="BE127" i="6" s="1"/>
  <c r="BE128" i="6" s="1"/>
  <c r="BE129" i="6" s="1"/>
  <c r="BE130" i="6" s="1"/>
  <c r="BE131" i="6" s="1"/>
  <c r="BE132" i="6" s="1"/>
  <c r="BE133" i="6" s="1"/>
  <c r="BE134" i="6" s="1"/>
  <c r="BE135" i="6" s="1"/>
  <c r="BE136" i="6" s="1"/>
  <c r="BE137" i="6" s="1"/>
  <c r="BP104" i="6"/>
  <c r="BO104" i="6"/>
  <c r="BN104" i="6"/>
  <c r="BM104" i="6"/>
  <c r="BL104" i="6"/>
  <c r="BJ104" i="6"/>
  <c r="BI104" i="6"/>
  <c r="BH104" i="6"/>
  <c r="BG104" i="6"/>
  <c r="BF104" i="6"/>
  <c r="AY106" i="6"/>
  <c r="AY107" i="6" s="1"/>
  <c r="AY108" i="6" s="1"/>
  <c r="AY109" i="6" s="1"/>
  <c r="AY110" i="6" s="1"/>
  <c r="AY111" i="6" s="1"/>
  <c r="AY112" i="6" s="1"/>
  <c r="AY113" i="6" s="1"/>
  <c r="AY114" i="6" s="1"/>
  <c r="AY115" i="6" s="1"/>
  <c r="AY116" i="6" s="1"/>
  <c r="AY117" i="6" s="1"/>
  <c r="AY118" i="6" s="1"/>
  <c r="AY119" i="6" s="1"/>
  <c r="AY120" i="6" s="1"/>
  <c r="AY121" i="6" s="1"/>
  <c r="AY122" i="6" s="1"/>
  <c r="AY123" i="6" s="1"/>
  <c r="AY124" i="6" s="1"/>
  <c r="AY125" i="6" s="1"/>
  <c r="AY126" i="6" s="1"/>
  <c r="AY127" i="6" s="1"/>
  <c r="AY128" i="6" s="1"/>
  <c r="AY129" i="6" s="1"/>
  <c r="AY130" i="6" s="1"/>
  <c r="AY131" i="6" s="1"/>
  <c r="AY132" i="6" s="1"/>
  <c r="AY133" i="6" s="1"/>
  <c r="AY134" i="6" s="1"/>
  <c r="AY135" i="6" s="1"/>
  <c r="AY136" i="6" s="1"/>
  <c r="AY137" i="6" s="1"/>
  <c r="AS106" i="6"/>
  <c r="AS107" i="6" s="1"/>
  <c r="AS108" i="6" s="1"/>
  <c r="AS109" i="6" s="1"/>
  <c r="AS110" i="6" s="1"/>
  <c r="AS111" i="6" s="1"/>
  <c r="AS112" i="6" s="1"/>
  <c r="AS113" i="6" s="1"/>
  <c r="AS114" i="6" s="1"/>
  <c r="AS115" i="6" s="1"/>
  <c r="AS116" i="6" s="1"/>
  <c r="AS117" i="6" s="1"/>
  <c r="AS118" i="6" s="1"/>
  <c r="AS119" i="6" s="1"/>
  <c r="AS120" i="6" s="1"/>
  <c r="AS121" i="6" s="1"/>
  <c r="AS122" i="6" s="1"/>
  <c r="AS123" i="6" s="1"/>
  <c r="AS124" i="6" s="1"/>
  <c r="AS125" i="6" s="1"/>
  <c r="AS126" i="6" s="1"/>
  <c r="AS127" i="6" s="1"/>
  <c r="AS128" i="6" s="1"/>
  <c r="AS129" i="6" s="1"/>
  <c r="AS130" i="6" s="1"/>
  <c r="AS131" i="6" s="1"/>
  <c r="AS132" i="6" s="1"/>
  <c r="AS133" i="6" s="1"/>
  <c r="AS134" i="6" s="1"/>
  <c r="AS135" i="6" s="1"/>
  <c r="AS136" i="6" s="1"/>
  <c r="AS137" i="6" s="1"/>
  <c r="BD104" i="6"/>
  <c r="BC104" i="6"/>
  <c r="BB104" i="6"/>
  <c r="BA104" i="6"/>
  <c r="AZ104" i="6"/>
  <c r="AX104" i="6"/>
  <c r="AW104" i="6"/>
  <c r="AV104" i="6"/>
  <c r="AU104" i="6"/>
  <c r="AT104" i="6"/>
  <c r="AM105" i="6"/>
  <c r="AM106" i="6" s="1"/>
  <c r="AM107" i="6" s="1"/>
  <c r="AM108" i="6" s="1"/>
  <c r="AM109" i="6" s="1"/>
  <c r="AM110" i="6" s="1"/>
  <c r="AM111" i="6" s="1"/>
  <c r="AM112" i="6" s="1"/>
  <c r="AM113" i="6" s="1"/>
  <c r="AM114" i="6" s="1"/>
  <c r="AM115" i="6" s="1"/>
  <c r="AM116" i="6" s="1"/>
  <c r="AM117" i="6" s="1"/>
  <c r="AM118" i="6" s="1"/>
  <c r="AM119" i="6" s="1"/>
  <c r="AM120" i="6" s="1"/>
  <c r="AM121" i="6" s="1"/>
  <c r="AM122" i="6" s="1"/>
  <c r="AM123" i="6" s="1"/>
  <c r="AM124" i="6" s="1"/>
  <c r="AM125" i="6" s="1"/>
  <c r="AM126" i="6" s="1"/>
  <c r="AM127" i="6" s="1"/>
  <c r="AM128" i="6" s="1"/>
  <c r="AM129" i="6" s="1"/>
  <c r="AM130" i="6" s="1"/>
  <c r="AM131" i="6" s="1"/>
  <c r="AM132" i="6" s="1"/>
  <c r="AM133" i="6" s="1"/>
  <c r="AM134" i="6" s="1"/>
  <c r="AM135" i="6" s="1"/>
  <c r="AM136" i="6" s="1"/>
  <c r="AM137" i="6" s="1"/>
  <c r="AG105" i="6"/>
  <c r="AG106" i="6" s="1"/>
  <c r="AG107" i="6" s="1"/>
  <c r="AG108" i="6" s="1"/>
  <c r="AG109" i="6" s="1"/>
  <c r="AG110" i="6" s="1"/>
  <c r="AG111" i="6" s="1"/>
  <c r="AG112" i="6" s="1"/>
  <c r="AG113" i="6" s="1"/>
  <c r="AG114" i="6" s="1"/>
  <c r="AG115" i="6" s="1"/>
  <c r="AG116" i="6" s="1"/>
  <c r="AG117" i="6" s="1"/>
  <c r="AG118" i="6" s="1"/>
  <c r="AG119" i="6" s="1"/>
  <c r="AG120" i="6" s="1"/>
  <c r="AG121" i="6" s="1"/>
  <c r="AG122" i="6" s="1"/>
  <c r="AG123" i="6" s="1"/>
  <c r="AG124" i="6" s="1"/>
  <c r="AG125" i="6" s="1"/>
  <c r="AG126" i="6" s="1"/>
  <c r="AG127" i="6" s="1"/>
  <c r="AG128" i="6" s="1"/>
  <c r="AG129" i="6" s="1"/>
  <c r="AG130" i="6" s="1"/>
  <c r="AG131" i="6" s="1"/>
  <c r="AG132" i="6" s="1"/>
  <c r="AG133" i="6" s="1"/>
  <c r="AG134" i="6" s="1"/>
  <c r="AG135" i="6" s="1"/>
  <c r="AG136" i="6" s="1"/>
  <c r="AG137" i="6" s="1"/>
  <c r="AA105" i="6"/>
  <c r="AA106" i="6" s="1"/>
  <c r="AA107" i="6" s="1"/>
  <c r="AA108" i="6" s="1"/>
  <c r="AA109" i="6" s="1"/>
  <c r="AA110" i="6" s="1"/>
  <c r="AA111" i="6" s="1"/>
  <c r="AA112" i="6" s="1"/>
  <c r="AA113" i="6" s="1"/>
  <c r="AA114" i="6" s="1"/>
  <c r="AA115" i="6" s="1"/>
  <c r="AA116" i="6" s="1"/>
  <c r="AA117" i="6" s="1"/>
  <c r="AA118" i="6" s="1"/>
  <c r="AA119" i="6" s="1"/>
  <c r="AA120" i="6" s="1"/>
  <c r="AA121" i="6" s="1"/>
  <c r="AA122" i="6" s="1"/>
  <c r="AA123" i="6" s="1"/>
  <c r="AA124" i="6" s="1"/>
  <c r="AA125" i="6" s="1"/>
  <c r="AA126" i="6" s="1"/>
  <c r="AA127" i="6" s="1"/>
  <c r="AA128" i="6" s="1"/>
  <c r="AA129" i="6" s="1"/>
  <c r="AA130" i="6" s="1"/>
  <c r="AA131" i="6" s="1"/>
  <c r="AA132" i="6" s="1"/>
  <c r="AA133" i="6" s="1"/>
  <c r="AA134" i="6" s="1"/>
  <c r="AA135" i="6" s="1"/>
  <c r="AA136" i="6" s="1"/>
  <c r="AA137" i="6" s="1"/>
  <c r="U105" i="6"/>
  <c r="U106" i="6" s="1"/>
  <c r="U107" i="6" s="1"/>
  <c r="U108" i="6" s="1"/>
  <c r="U109" i="6" s="1"/>
  <c r="U110" i="6" s="1"/>
  <c r="U111" i="6" s="1"/>
  <c r="U112" i="6" s="1"/>
  <c r="U113" i="6" s="1"/>
  <c r="U114" i="6" s="1"/>
  <c r="U115" i="6" s="1"/>
  <c r="U116" i="6" s="1"/>
  <c r="U117" i="6" s="1"/>
  <c r="U118" i="6" s="1"/>
  <c r="U119" i="6" s="1"/>
  <c r="U120" i="6" s="1"/>
  <c r="U121" i="6" s="1"/>
  <c r="U122" i="6" s="1"/>
  <c r="U123" i="6" s="1"/>
  <c r="U124" i="6" s="1"/>
  <c r="U125" i="6" s="1"/>
  <c r="U126" i="6" s="1"/>
  <c r="U127" i="6" s="1"/>
  <c r="U128" i="6" s="1"/>
  <c r="U129" i="6" s="1"/>
  <c r="U130" i="6" s="1"/>
  <c r="U131" i="6" s="1"/>
  <c r="U132" i="6" s="1"/>
  <c r="U133" i="6" s="1"/>
  <c r="U134" i="6" s="1"/>
  <c r="U135" i="6" s="1"/>
  <c r="U136" i="6" s="1"/>
  <c r="U137" i="6" s="1"/>
  <c r="AR104" i="6"/>
  <c r="AQ104" i="6"/>
  <c r="AP104" i="6"/>
  <c r="AO104" i="6"/>
  <c r="AN104" i="6"/>
  <c r="AL104" i="6"/>
  <c r="AK104" i="6"/>
  <c r="AJ104" i="6"/>
  <c r="AI104" i="6"/>
  <c r="AH104" i="6"/>
  <c r="AF104" i="6"/>
  <c r="AE104" i="6"/>
  <c r="AD104" i="6"/>
  <c r="AC104" i="6"/>
  <c r="AB104" i="6"/>
  <c r="Z104" i="6"/>
  <c r="Y104" i="6"/>
  <c r="X104" i="6"/>
  <c r="W104" i="6"/>
  <c r="V104" i="6"/>
  <c r="AM65" i="6"/>
  <c r="AM66" i="6" s="1"/>
  <c r="AM67" i="6" s="1"/>
  <c r="AM68" i="6" s="1"/>
  <c r="AM69" i="6" s="1"/>
  <c r="AM70" i="6" s="1"/>
  <c r="AM71" i="6" s="1"/>
  <c r="AM72" i="6" s="1"/>
  <c r="AM73" i="6" s="1"/>
  <c r="AM74" i="6" s="1"/>
  <c r="AM75" i="6" s="1"/>
  <c r="AM76" i="6" s="1"/>
  <c r="AM77" i="6" s="1"/>
  <c r="AM78" i="6" s="1"/>
  <c r="AM79" i="6" s="1"/>
  <c r="AM80" i="6" s="1"/>
  <c r="AM81" i="6" s="1"/>
  <c r="AM82" i="6" s="1"/>
  <c r="AM83" i="6" s="1"/>
  <c r="AM84" i="6" s="1"/>
  <c r="AM85" i="6" s="1"/>
  <c r="AM86" i="6" s="1"/>
  <c r="AM87" i="6" s="1"/>
  <c r="AM88" i="6" s="1"/>
  <c r="AM89" i="6" s="1"/>
  <c r="AM90" i="6" s="1"/>
  <c r="AM91" i="6" s="1"/>
  <c r="AM92" i="6" s="1"/>
  <c r="AM93" i="6" s="1"/>
  <c r="AM94" i="6" s="1"/>
  <c r="AM95" i="6" s="1"/>
  <c r="AM96" i="6" s="1"/>
  <c r="AM97" i="6" s="1"/>
  <c r="AA65" i="6"/>
  <c r="AA66" i="6" s="1"/>
  <c r="AA67" i="6" s="1"/>
  <c r="AA68" i="6" s="1"/>
  <c r="AA69" i="6" s="1"/>
  <c r="AA70" i="6" s="1"/>
  <c r="AA71" i="6" s="1"/>
  <c r="AA72" i="6" s="1"/>
  <c r="AA73" i="6" s="1"/>
  <c r="AA74" i="6" s="1"/>
  <c r="AA75" i="6" s="1"/>
  <c r="AA76" i="6" s="1"/>
  <c r="AA77" i="6" s="1"/>
  <c r="AA78" i="6" s="1"/>
  <c r="AA79" i="6" s="1"/>
  <c r="AA80" i="6" s="1"/>
  <c r="AA81" i="6" s="1"/>
  <c r="AA82" i="6" s="1"/>
  <c r="AA83" i="6" s="1"/>
  <c r="AA84" i="6" s="1"/>
  <c r="AA85" i="6" s="1"/>
  <c r="AA86" i="6" s="1"/>
  <c r="AA87" i="6" s="1"/>
  <c r="AA88" i="6" s="1"/>
  <c r="AA89" i="6" s="1"/>
  <c r="AA90" i="6" s="1"/>
  <c r="AA91" i="6" s="1"/>
  <c r="AA92" i="6" s="1"/>
  <c r="AA93" i="6" s="1"/>
  <c r="AA94" i="6" s="1"/>
  <c r="AA95" i="6" s="1"/>
  <c r="AA96" i="6" s="1"/>
  <c r="AA97" i="6" s="1"/>
  <c r="AA16" i="6"/>
  <c r="AG65" i="6"/>
  <c r="AG66" i="6" s="1"/>
  <c r="AG67" i="6" s="1"/>
  <c r="AG68" i="6" s="1"/>
  <c r="AG69" i="6" s="1"/>
  <c r="AG70" i="6" s="1"/>
  <c r="AG71" i="6" s="1"/>
  <c r="AG72" i="6" s="1"/>
  <c r="AG73" i="6" s="1"/>
  <c r="AG74" i="6" s="1"/>
  <c r="AG75" i="6" s="1"/>
  <c r="AG76" i="6" s="1"/>
  <c r="AG77" i="6" s="1"/>
  <c r="AG78" i="6" s="1"/>
  <c r="AG79" i="6" s="1"/>
  <c r="AG80" i="6" s="1"/>
  <c r="AG81" i="6" s="1"/>
  <c r="AG82" i="6" s="1"/>
  <c r="AG83" i="6" s="1"/>
  <c r="AG84" i="6" s="1"/>
  <c r="AG85" i="6" s="1"/>
  <c r="AG86" i="6" s="1"/>
  <c r="AG87" i="6" s="1"/>
  <c r="AG88" i="6" s="1"/>
  <c r="AG89" i="6" s="1"/>
  <c r="AG90" i="6" s="1"/>
  <c r="AG91" i="6" s="1"/>
  <c r="AG92" i="6" s="1"/>
  <c r="AG93" i="6" s="1"/>
  <c r="AG94" i="6" s="1"/>
  <c r="AG95" i="6" s="1"/>
  <c r="AG96" i="6" s="1"/>
  <c r="AG97" i="6" s="1"/>
  <c r="U65" i="6"/>
  <c r="U16" i="6"/>
  <c r="U66" i="6"/>
  <c r="U67" i="6" s="1"/>
  <c r="U68" i="6" s="1"/>
  <c r="U69" i="6" s="1"/>
  <c r="U70" i="6" s="1"/>
  <c r="U71" i="6" s="1"/>
  <c r="U72" i="6" s="1"/>
  <c r="U73" i="6" s="1"/>
  <c r="U74" i="6" s="1"/>
  <c r="U75" i="6" s="1"/>
  <c r="U76" i="6" s="1"/>
  <c r="U77" i="6" s="1"/>
  <c r="U78" i="6" s="1"/>
  <c r="U79" i="6" s="1"/>
  <c r="U80" i="6" s="1"/>
  <c r="U81" i="6" s="1"/>
  <c r="U82" i="6" s="1"/>
  <c r="U83" i="6" s="1"/>
  <c r="U84" i="6" s="1"/>
  <c r="U85" i="6" s="1"/>
  <c r="U86" i="6" s="1"/>
  <c r="U87" i="6" s="1"/>
  <c r="U88" i="6" s="1"/>
  <c r="U89" i="6" s="1"/>
  <c r="U90" i="6" s="1"/>
  <c r="U91" i="6" s="1"/>
  <c r="U92" i="6" s="1"/>
  <c r="U93" i="6" s="1"/>
  <c r="U94" i="6" s="1"/>
  <c r="U95" i="6" s="1"/>
  <c r="U96" i="6" s="1"/>
  <c r="U97" i="6" s="1"/>
  <c r="AL15" i="6"/>
  <c r="AK15" i="6"/>
  <c r="AJ15" i="6"/>
  <c r="AI15" i="6"/>
  <c r="AH15" i="6"/>
  <c r="AR64" i="6"/>
  <c r="AQ64" i="6"/>
  <c r="AP64" i="6"/>
  <c r="AO64" i="6"/>
  <c r="AN64" i="6"/>
  <c r="AL64" i="6"/>
  <c r="AK64" i="6"/>
  <c r="AJ64" i="6"/>
  <c r="AI64" i="6"/>
  <c r="AH64" i="6"/>
  <c r="AF64" i="6"/>
  <c r="AE64" i="6"/>
  <c r="AD64" i="6"/>
  <c r="AC64" i="6"/>
  <c r="AB64" i="6"/>
  <c r="Z64" i="6"/>
  <c r="Y64" i="6"/>
  <c r="X64" i="6"/>
  <c r="W64" i="6"/>
  <c r="V64" i="6"/>
  <c r="AF15" i="6"/>
  <c r="AE15" i="6"/>
  <c r="AD15" i="6"/>
  <c r="AC15" i="6"/>
  <c r="AB15" i="6"/>
  <c r="Z15" i="6"/>
  <c r="Y15" i="6"/>
  <c r="X15" i="6"/>
  <c r="W15" i="6"/>
  <c r="V15" i="6"/>
  <c r="V100" i="6" l="1"/>
  <c r="X100" i="6" s="1" a="1"/>
  <c r="X100" i="6" s="1"/>
  <c r="V143" i="6"/>
  <c r="X143" i="6" s="1" a="1"/>
  <c r="X143" i="6" s="1"/>
  <c r="AG193" i="6"/>
  <c r="AG194" i="6" s="1"/>
  <c r="AG195" i="6" s="1"/>
  <c r="AG196" i="6" s="1"/>
  <c r="AG197" i="6" s="1"/>
  <c r="AG198" i="6" s="1"/>
  <c r="AG199" i="6" s="1"/>
  <c r="AG200" i="6" s="1"/>
  <c r="AG201" i="6" s="1"/>
  <c r="AG202" i="6" s="1"/>
  <c r="AG203" i="6" s="1"/>
  <c r="AG204" i="6" s="1"/>
  <c r="AG205" i="6" s="1"/>
  <c r="AG206" i="6" s="1"/>
  <c r="AG207" i="6" s="1"/>
  <c r="AG208" i="6" s="1"/>
  <c r="AG209" i="6" s="1"/>
  <c r="AG210" i="6" s="1"/>
  <c r="AG211" i="6" s="1"/>
  <c r="AG212" i="6" s="1"/>
  <c r="AG213" i="6" s="1"/>
  <c r="AG214" i="6" s="1"/>
  <c r="AG215" i="6" s="1"/>
  <c r="AG216" i="6" s="1"/>
  <c r="AG217" i="6" s="1"/>
  <c r="AG218" i="6" s="1"/>
  <c r="AG219" i="6" s="1"/>
  <c r="AG220" i="6" s="1"/>
  <c r="AS190" i="6"/>
  <c r="BE189" i="6"/>
  <c r="BE190" i="6" s="1"/>
  <c r="BE191" i="6" s="1"/>
  <c r="BE192" i="6" s="1"/>
  <c r="BE193" i="6" s="1"/>
  <c r="BE194" i="6" s="1"/>
  <c r="BE195" i="6" s="1"/>
  <c r="BE196" i="6" s="1"/>
  <c r="BE197" i="6" s="1"/>
  <c r="BE198" i="6" s="1"/>
  <c r="BE199" i="6" s="1"/>
  <c r="BE200" i="6" s="1"/>
  <c r="BE201" i="6" s="1"/>
  <c r="BE202" i="6" s="1"/>
  <c r="BE203" i="6" s="1"/>
  <c r="BE204" i="6" s="1"/>
  <c r="BE205" i="6" s="1"/>
  <c r="BE206" i="6" s="1"/>
  <c r="BE207" i="6" s="1"/>
  <c r="BE208" i="6" s="1"/>
  <c r="BE209" i="6" s="1"/>
  <c r="BE210" i="6" s="1"/>
  <c r="BE211" i="6" s="1"/>
  <c r="BE212" i="6" s="1"/>
  <c r="BE213" i="6" s="1"/>
  <c r="BE214" i="6" s="1"/>
  <c r="BE215" i="6" s="1"/>
  <c r="BE216" i="6" s="1"/>
  <c r="BE217" i="6" s="1"/>
  <c r="BE218" i="6" s="1"/>
  <c r="BE219" i="6" s="1"/>
  <c r="BE220" i="6" s="1"/>
  <c r="BQ190" i="6"/>
  <c r="CC190" i="6"/>
  <c r="CC191" i="6" s="1"/>
  <c r="CC192" i="6" s="1"/>
  <c r="CC193" i="6" s="1"/>
  <c r="CC194" i="6" s="1"/>
  <c r="CC195" i="6" s="1"/>
  <c r="CC196" i="6" s="1"/>
  <c r="CC197" i="6" s="1"/>
  <c r="CC198" i="6" s="1"/>
  <c r="CC199" i="6" s="1"/>
  <c r="CC200" i="6" s="1"/>
  <c r="CC201" i="6" s="1"/>
  <c r="CC202" i="6" s="1"/>
  <c r="CC203" i="6" s="1"/>
  <c r="CC204" i="6" s="1"/>
  <c r="CC205" i="6" s="1"/>
  <c r="CC206" i="6" s="1"/>
  <c r="CC207" i="6" s="1"/>
  <c r="CC208" i="6" s="1"/>
  <c r="CC209" i="6" s="1"/>
  <c r="CC210" i="6" s="1"/>
  <c r="CC211" i="6" s="1"/>
  <c r="CC212" i="6" s="1"/>
  <c r="CC213" i="6" s="1"/>
  <c r="CC214" i="6" s="1"/>
  <c r="CC215" i="6" s="1"/>
  <c r="CC216" i="6" s="1"/>
  <c r="CC217" i="6" s="1"/>
  <c r="CC218" i="6" s="1"/>
  <c r="CC219" i="6" s="1"/>
  <c r="CC220" i="6" s="1"/>
  <c r="U189" i="6"/>
  <c r="E1" i="17"/>
  <c r="D1" i="17"/>
  <c r="C1" i="17"/>
  <c r="B1" i="17"/>
  <c r="A1" i="17"/>
  <c r="A4" i="11"/>
  <c r="A5" i="11"/>
  <c r="A6" i="11"/>
  <c r="A7" i="11"/>
  <c r="A8" i="11"/>
  <c r="A9" i="11"/>
  <c r="A10" i="11"/>
  <c r="A11" i="11"/>
  <c r="A12" i="11"/>
  <c r="A13" i="11"/>
  <c r="A14" i="11"/>
  <c r="A15" i="11"/>
  <c r="A16" i="11"/>
  <c r="A17" i="11"/>
  <c r="A18" i="11"/>
  <c r="A19" i="11"/>
  <c r="A20" i="11"/>
  <c r="A21" i="11"/>
  <c r="A22" i="11"/>
  <c r="A23" i="11"/>
  <c r="A24" i="11"/>
  <c r="A25" i="11"/>
  <c r="A26" i="11"/>
  <c r="A27" i="11"/>
  <c r="A28" i="11" s="1"/>
  <c r="A29" i="11" s="1"/>
  <c r="A30" i="11" s="1"/>
  <c r="A31" i="11" s="1"/>
  <c r="A32" i="11" s="1"/>
  <c r="A33" i="11" s="1"/>
  <c r="A34" i="11" s="1"/>
  <c r="A3" i="11"/>
  <c r="AA17" i="6"/>
  <c r="AA18" i="6" s="1"/>
  <c r="AA19" i="6" s="1"/>
  <c r="AA20" i="6" s="1"/>
  <c r="AA21" i="6" s="1"/>
  <c r="AA22" i="6" s="1"/>
  <c r="AA23" i="6" s="1"/>
  <c r="AA24" i="6" s="1"/>
  <c r="AA25" i="6" s="1"/>
  <c r="AA26" i="6" s="1"/>
  <c r="AA27" i="6" s="1"/>
  <c r="AA28" i="6" s="1"/>
  <c r="AA29" i="6" s="1"/>
  <c r="AA30" i="6" s="1"/>
  <c r="AA31" i="6" s="1"/>
  <c r="AA32" i="6" s="1"/>
  <c r="AA33" i="6" s="1"/>
  <c r="AA34" i="6" s="1"/>
  <c r="AA35" i="6" s="1"/>
  <c r="AA36" i="6" s="1"/>
  <c r="AA37" i="6" s="1"/>
  <c r="AA38" i="6" s="1"/>
  <c r="AA39" i="6" s="1"/>
  <c r="AA40" i="6" s="1"/>
  <c r="AA41" i="6" s="1"/>
  <c r="AA42" i="6" s="1"/>
  <c r="AA43" i="6" s="1"/>
  <c r="AA44" i="6" s="1"/>
  <c r="AA45" i="6" s="1"/>
  <c r="AA46" i="6" s="1"/>
  <c r="AA47" i="6" s="1"/>
  <c r="AA48" i="6" s="1"/>
  <c r="W3" i="6"/>
  <c r="X3" i="6"/>
  <c r="Y3" i="6"/>
  <c r="Z3" i="6"/>
  <c r="V3" i="6"/>
  <c r="U17" i="6"/>
  <c r="BD42" i="6" l="1" a="1"/>
  <c r="BD42" i="6" s="1"/>
  <c r="BA19" i="6" a="1"/>
  <c r="BA19" i="6" s="1"/>
  <c r="BD38" i="6" a="1"/>
  <c r="BD38" i="6" s="1"/>
  <c r="BA42" i="6" a="1"/>
  <c r="BA42" i="6" s="1"/>
  <c r="BC45" i="6" a="1"/>
  <c r="BC45" i="6" s="1"/>
  <c r="BD48" i="6" a="1"/>
  <c r="BD48" i="6" s="1"/>
  <c r="AZ41" i="6" a="1"/>
  <c r="AZ41" i="6" s="1"/>
  <c r="BB19" i="6" a="1"/>
  <c r="BB19" i="6" s="1"/>
  <c r="BC22" i="6" a="1"/>
  <c r="BC22" i="6" s="1"/>
  <c r="BD25" i="6" a="1"/>
  <c r="BD25" i="6" s="1"/>
  <c r="BA29" i="6" a="1"/>
  <c r="BA29" i="6" s="1"/>
  <c r="BB32" i="6" a="1"/>
  <c r="BB32" i="6" s="1"/>
  <c r="BC35" i="6" a="1"/>
  <c r="BC35" i="6" s="1"/>
  <c r="AZ29" i="6" a="1"/>
  <c r="AZ29" i="6" s="1"/>
  <c r="AZ42" i="6" a="1"/>
  <c r="AZ42" i="6" s="1"/>
  <c r="BA16" i="6" a="1"/>
  <c r="BA16" i="6" s="1"/>
  <c r="BD35" i="6" a="1"/>
  <c r="BD35" i="6" s="1"/>
  <c r="BA39" i="6" a="1"/>
  <c r="BA39" i="6" s="1"/>
  <c r="BB42" i="6" a="1"/>
  <c r="BB42" i="6" s="1"/>
  <c r="BD45" i="6" a="1"/>
  <c r="BD45" i="6" s="1"/>
  <c r="AZ17" i="6" a="1"/>
  <c r="AZ17" i="6" s="1"/>
  <c r="AZ30" i="6" a="1"/>
  <c r="AZ30" i="6" s="1"/>
  <c r="BB16" i="6" a="1"/>
  <c r="BB16" i="6" s="1"/>
  <c r="BC19" i="6" a="1"/>
  <c r="BC19" i="6" s="1"/>
  <c r="BD22" i="6" a="1"/>
  <c r="BD22" i="6" s="1"/>
  <c r="BA26" i="6" a="1"/>
  <c r="BA26" i="6" s="1"/>
  <c r="BB29" i="6" a="1"/>
  <c r="BB29" i="6" s="1"/>
  <c r="BC32" i="6" a="1"/>
  <c r="BC32" i="6" s="1"/>
  <c r="AZ18" i="6" a="1"/>
  <c r="AZ18" i="6" s="1"/>
  <c r="AZ43" i="6" a="1"/>
  <c r="AZ43" i="6" s="1"/>
  <c r="BD32" i="6" a="1"/>
  <c r="BD32" i="6" s="1"/>
  <c r="BA36" i="6" a="1"/>
  <c r="BA36" i="6" s="1"/>
  <c r="BB39" i="6" a="1"/>
  <c r="BB39" i="6" s="1"/>
  <c r="BC42" i="6" a="1"/>
  <c r="BC42" i="6" s="1"/>
  <c r="BA46" i="6" a="1"/>
  <c r="BA46" i="6" s="1"/>
  <c r="AZ31" i="6" a="1"/>
  <c r="AZ31" i="6" s="1"/>
  <c r="BC16" i="6" a="1"/>
  <c r="BC16" i="6" s="1"/>
  <c r="BD19" i="6" a="1"/>
  <c r="BD19" i="6" s="1"/>
  <c r="BA23" i="6" a="1"/>
  <c r="BA23" i="6" s="1"/>
  <c r="BB26" i="6" a="1"/>
  <c r="BB26" i="6" s="1"/>
  <c r="BC29" i="6" a="1"/>
  <c r="BC29" i="6" s="1"/>
  <c r="BB46" i="6" a="1"/>
  <c r="BB46" i="6" s="1"/>
  <c r="AZ19" i="6" a="1"/>
  <c r="AZ19" i="6" s="1"/>
  <c r="AZ44" i="6" a="1"/>
  <c r="AZ44" i="6" s="1"/>
  <c r="BD29" i="6" a="1"/>
  <c r="BD29" i="6" s="1"/>
  <c r="BA33" i="6" a="1"/>
  <c r="BA33" i="6" s="1"/>
  <c r="BB36" i="6" a="1"/>
  <c r="BB36" i="6" s="1"/>
  <c r="BD16" i="6" a="1"/>
  <c r="BD16" i="6" s="1"/>
  <c r="BA21" i="6" a="1"/>
  <c r="BA21" i="6" s="1"/>
  <c r="BB25" i="6" a="1"/>
  <c r="BB25" i="6" s="1"/>
  <c r="BA44" i="6" a="1"/>
  <c r="BA44" i="6" s="1"/>
  <c r="AZ48" i="6" a="1"/>
  <c r="AZ48" i="6" s="1"/>
  <c r="BC30" i="6" a="1"/>
  <c r="BC30" i="6" s="1"/>
  <c r="BD34" i="6" a="1"/>
  <c r="BD34" i="6" s="1"/>
  <c r="BD39" i="6" a="1"/>
  <c r="BD39" i="6" s="1"/>
  <c r="BB48" i="6" a="1"/>
  <c r="BB48" i="6" s="1"/>
  <c r="AZ33" i="6" a="1"/>
  <c r="AZ33" i="6" s="1"/>
  <c r="BA17" i="6" a="1"/>
  <c r="BA17" i="6" s="1"/>
  <c r="BB21" i="6" a="1"/>
  <c r="BB21" i="6" s="1"/>
  <c r="BC25" i="6" a="1"/>
  <c r="BC25" i="6" s="1"/>
  <c r="BB44" i="6" a="1"/>
  <c r="BB44" i="6" s="1"/>
  <c r="AZ16" i="6" a="1"/>
  <c r="AZ16" i="6" s="1"/>
  <c r="BC26" i="6" a="1"/>
  <c r="BC26" i="6" s="1"/>
  <c r="BD30" i="6" a="1"/>
  <c r="BD30" i="6" s="1"/>
  <c r="BA35" i="6" a="1"/>
  <c r="BA35" i="6" s="1"/>
  <c r="BA40" i="6" a="1"/>
  <c r="BA40" i="6" s="1"/>
  <c r="BC48" i="6" a="1"/>
  <c r="BC48" i="6" s="1"/>
  <c r="AZ34" i="6" a="1"/>
  <c r="AZ34" i="6" s="1"/>
  <c r="BB17" i="6" a="1"/>
  <c r="BB17" i="6" s="1"/>
  <c r="BC21" i="6" a="1"/>
  <c r="BC21" i="6" s="1"/>
  <c r="BD26" i="6" a="1"/>
  <c r="BD26" i="6" s="1"/>
  <c r="BB40" i="6" a="1"/>
  <c r="BB40" i="6" s="1"/>
  <c r="BC44" i="6" a="1"/>
  <c r="BC44" i="6" s="1"/>
  <c r="BA31" i="6" a="1"/>
  <c r="BA31" i="6" s="1"/>
  <c r="BB35" i="6" a="1"/>
  <c r="BB35" i="6" s="1"/>
  <c r="BD44" i="6" a="1"/>
  <c r="BD44" i="6" s="1"/>
  <c r="AZ35" i="6" a="1"/>
  <c r="AZ35" i="6" s="1"/>
  <c r="BC17" i="6" a="1"/>
  <c r="BC17" i="6" s="1"/>
  <c r="BD21" i="6" a="1"/>
  <c r="BD21" i="6" s="1"/>
  <c r="BA27" i="6" a="1"/>
  <c r="BA27" i="6" s="1"/>
  <c r="BB31" i="6" a="1"/>
  <c r="BB31" i="6" s="1"/>
  <c r="BC40" i="6" a="1"/>
  <c r="BC40" i="6" s="1"/>
  <c r="AZ20" i="6" a="1"/>
  <c r="AZ20" i="6" s="1"/>
  <c r="BA28" i="6" a="1"/>
  <c r="BA28" i="6" s="1"/>
  <c r="BB33" i="6" a="1"/>
  <c r="BB33" i="6" s="1"/>
  <c r="BC37" i="6" a="1"/>
  <c r="BC37" i="6" s="1"/>
  <c r="BC41" i="6" a="1"/>
  <c r="BC41" i="6" s="1"/>
  <c r="BD46" i="6" a="1"/>
  <c r="BD46" i="6" s="1"/>
  <c r="AZ24" i="6" a="1"/>
  <c r="AZ24" i="6" s="1"/>
  <c r="BD18" i="6" a="1"/>
  <c r="BD18" i="6" s="1"/>
  <c r="BA24" i="6" a="1"/>
  <c r="BA24" i="6" s="1"/>
  <c r="BB28" i="6" a="1"/>
  <c r="BB28" i="6" s="1"/>
  <c r="BD41" i="6" a="1"/>
  <c r="BD41" i="6" s="1"/>
  <c r="AZ40" i="6" a="1"/>
  <c r="AZ40" i="6" s="1"/>
  <c r="BC33" i="6" a="1"/>
  <c r="BC33" i="6" s="1"/>
  <c r="BD37" i="6" a="1"/>
  <c r="BD37" i="6" s="1"/>
  <c r="BA47" i="6" a="1"/>
  <c r="BA47" i="6" s="1"/>
  <c r="AZ25" i="6" a="1"/>
  <c r="AZ25" i="6" s="1"/>
  <c r="BA20" i="6" a="1"/>
  <c r="BA20" i="6" s="1"/>
  <c r="BB24" i="6" a="1"/>
  <c r="BB24" i="6" s="1"/>
  <c r="BC28" i="6" a="1"/>
  <c r="BC28" i="6" s="1"/>
  <c r="BA43" i="6" a="1"/>
  <c r="BA43" i="6" s="1"/>
  <c r="BD33" i="6" a="1"/>
  <c r="BD33" i="6" s="1"/>
  <c r="BA38" i="6" a="1"/>
  <c r="BA38" i="6" s="1"/>
  <c r="BB43" i="6" a="1"/>
  <c r="BB43" i="6" s="1"/>
  <c r="BB47" i="6" a="1"/>
  <c r="BB47" i="6" s="1"/>
  <c r="AZ26" i="6" a="1"/>
  <c r="AZ26" i="6" s="1"/>
  <c r="AZ45" i="6" a="1"/>
  <c r="AZ45" i="6" s="1"/>
  <c r="BB20" i="6" a="1"/>
  <c r="BB20" i="6" s="1"/>
  <c r="BC24" i="6" a="1"/>
  <c r="BC24" i="6" s="1"/>
  <c r="BD28" i="6" a="1"/>
  <c r="BD28" i="6" s="1"/>
  <c r="BA34" i="6" a="1"/>
  <c r="BA34" i="6" s="1"/>
  <c r="BB38" i="6" a="1"/>
  <c r="BB38" i="6" s="1"/>
  <c r="BC43" i="6" a="1"/>
  <c r="BC43" i="6" s="1"/>
  <c r="BC47" i="6" a="1"/>
  <c r="BC47" i="6" s="1"/>
  <c r="AZ27" i="6" a="1"/>
  <c r="AZ27" i="6" s="1"/>
  <c r="AZ46" i="6" a="1"/>
  <c r="AZ46" i="6" s="1"/>
  <c r="BC20" i="6" a="1"/>
  <c r="BC20" i="6" s="1"/>
  <c r="BD24" i="6" a="1"/>
  <c r="BD24" i="6" s="1"/>
  <c r="BA30" i="6" a="1"/>
  <c r="BA30" i="6" s="1"/>
  <c r="BB34" i="6" a="1"/>
  <c r="BB34" i="6" s="1"/>
  <c r="BD47" i="6" a="1"/>
  <c r="BD47" i="6" s="1"/>
  <c r="BD20" i="6" a="1"/>
  <c r="BD20" i="6" s="1"/>
  <c r="BC38" i="6" a="1"/>
  <c r="BC38" i="6" s="1"/>
  <c r="BD43" i="6" a="1"/>
  <c r="BD43" i="6" s="1"/>
  <c r="AZ28" i="6" a="1"/>
  <c r="AZ28" i="6" s="1"/>
  <c r="AZ47" i="6" a="1"/>
  <c r="AZ47" i="6" s="1"/>
  <c r="BA25" i="6" a="1"/>
  <c r="BA25" i="6" s="1"/>
  <c r="BB30" i="6" a="1"/>
  <c r="BB30" i="6" s="1"/>
  <c r="BC34" i="6" a="1"/>
  <c r="BC34" i="6" s="1"/>
  <c r="BB27" i="6" a="1"/>
  <c r="BB27" i="6" s="1"/>
  <c r="BA41" i="6" a="1"/>
  <c r="BA41" i="6" s="1"/>
  <c r="AZ37" i="6" a="1"/>
  <c r="AZ37" i="6" s="1"/>
  <c r="BC27" i="6" a="1"/>
  <c r="BC27" i="6" s="1"/>
  <c r="BB41" i="6" a="1"/>
  <c r="BB41" i="6" s="1"/>
  <c r="AZ38" i="6" a="1"/>
  <c r="AZ38" i="6" s="1"/>
  <c r="BD27" i="6" a="1"/>
  <c r="BD27" i="6" s="1"/>
  <c r="AZ39" i="6" a="1"/>
  <c r="AZ39" i="6" s="1"/>
  <c r="BA45" i="6" a="1"/>
  <c r="BA45" i="6" s="1"/>
  <c r="BC31" i="6" a="1"/>
  <c r="BC31" i="6" s="1"/>
  <c r="BB45" i="6" a="1"/>
  <c r="BB45" i="6" s="1"/>
  <c r="BD17" i="6" a="1"/>
  <c r="BD17" i="6" s="1"/>
  <c r="BD31" i="6" a="1"/>
  <c r="BD31" i="6" s="1"/>
  <c r="BC46" i="6" a="1"/>
  <c r="BC46" i="6" s="1"/>
  <c r="BA18" i="6" a="1"/>
  <c r="BA18" i="6" s="1"/>
  <c r="BA32" i="6" a="1"/>
  <c r="BA32" i="6" s="1"/>
  <c r="BA48" i="6" a="1"/>
  <c r="BA48" i="6" s="1"/>
  <c r="BB18" i="6" a="1"/>
  <c r="BB18" i="6" s="1"/>
  <c r="BC36" i="6" a="1"/>
  <c r="BC36" i="6" s="1"/>
  <c r="AZ21" i="6" a="1"/>
  <c r="AZ21" i="6" s="1"/>
  <c r="BC18" i="6" a="1"/>
  <c r="BC18" i="6" s="1"/>
  <c r="BD36" i="6" a="1"/>
  <c r="BD36" i="6" s="1"/>
  <c r="AZ22" i="6" a="1"/>
  <c r="AZ22" i="6" s="1"/>
  <c r="BA22" i="6" a="1"/>
  <c r="BA22" i="6" s="1"/>
  <c r="BA37" i="6" a="1"/>
  <c r="BA37" i="6" s="1"/>
  <c r="BB22" i="6" a="1"/>
  <c r="BB22" i="6" s="1"/>
  <c r="BB37" i="6" a="1"/>
  <c r="BB37" i="6" s="1"/>
  <c r="AZ23" i="6" a="1"/>
  <c r="AZ23" i="6" s="1"/>
  <c r="BB23" i="6" a="1"/>
  <c r="BB23" i="6" s="1"/>
  <c r="BC39" i="6" a="1"/>
  <c r="BC39" i="6" s="1"/>
  <c r="AZ32" i="6" a="1"/>
  <c r="AZ32" i="6" s="1"/>
  <c r="BC23" i="6" a="1"/>
  <c r="BC23" i="6" s="1"/>
  <c r="BD23" i="6" a="1"/>
  <c r="BD23" i="6" s="1"/>
  <c r="BD40" i="6" a="1"/>
  <c r="BD40" i="6" s="1"/>
  <c r="AZ36" i="6" a="1"/>
  <c r="AZ36" i="6" s="1"/>
  <c r="AS191" i="6"/>
  <c r="BQ191" i="6"/>
  <c r="U190" i="6"/>
  <c r="U18" i="6"/>
  <c r="U19" i="6" s="1"/>
  <c r="U20" i="6" s="1"/>
  <c r="U21" i="6" s="1"/>
  <c r="U22" i="6" s="1"/>
  <c r="U23" i="6" s="1"/>
  <c r="U24" i="6" s="1"/>
  <c r="U25" i="6" s="1"/>
  <c r="U26" i="6" s="1"/>
  <c r="U14" i="16"/>
  <c r="R14" i="16"/>
  <c r="O14" i="16"/>
  <c r="L14" i="16"/>
  <c r="I14" i="16"/>
  <c r="U17" i="16"/>
  <c r="R17" i="16"/>
  <c r="O17" i="16"/>
  <c r="L17" i="16"/>
  <c r="I17" i="16"/>
  <c r="B55" i="13"/>
  <c r="B56" i="13"/>
  <c r="B84" i="6"/>
  <c r="C9" i="6"/>
  <c r="D9" i="6" s="1"/>
  <c r="V140" i="6" s="1"/>
  <c r="B10" i="6"/>
  <c r="AN16" i="6" l="1" a="1"/>
  <c r="AN16" i="6" s="1"/>
  <c r="AO16" i="6" a="1"/>
  <c r="AO16" i="6" s="1"/>
  <c r="AR19" i="6" a="1"/>
  <c r="AR19" i="6" s="1"/>
  <c r="AQ26" i="6" a="1"/>
  <c r="AQ26" i="6" s="1"/>
  <c r="AP33" i="6" a="1"/>
  <c r="AP33" i="6" s="1"/>
  <c r="AO40" i="6" a="1"/>
  <c r="AO40" i="6" s="1"/>
  <c r="AO44" i="6" a="1"/>
  <c r="AO44" i="6" s="1"/>
  <c r="AQ47" i="6" a="1"/>
  <c r="AQ47" i="6" s="1"/>
  <c r="AN23" i="6" a="1"/>
  <c r="AN23" i="6" s="1"/>
  <c r="AP16" i="6" a="1"/>
  <c r="AP16" i="6" s="1"/>
  <c r="AP23" i="6" a="1"/>
  <c r="AP23" i="6" s="1"/>
  <c r="AO30" i="6" a="1"/>
  <c r="AO30" i="6" s="1"/>
  <c r="AR36" i="6" a="1"/>
  <c r="AR36" i="6" s="1"/>
  <c r="AP40" i="6" a="1"/>
  <c r="AP40" i="6" s="1"/>
  <c r="AN36" i="6" a="1"/>
  <c r="AN36" i="6" s="1"/>
  <c r="AQ16" i="6" a="1"/>
  <c r="AQ16" i="6" s="1"/>
  <c r="AO20" i="6" a="1"/>
  <c r="AO20" i="6" s="1"/>
  <c r="AR26" i="6" a="1"/>
  <c r="AR26" i="6" s="1"/>
  <c r="AQ33" i="6" a="1"/>
  <c r="AQ33" i="6" s="1"/>
  <c r="AR40" i="6" a="1"/>
  <c r="AR40" i="6" s="1"/>
  <c r="AP44" i="6" a="1"/>
  <c r="AP44" i="6" s="1"/>
  <c r="AR47" i="6" a="1"/>
  <c r="AR47" i="6" s="1"/>
  <c r="AN24" i="6" a="1"/>
  <c r="AN24" i="6" s="1"/>
  <c r="AP20" i="6" a="1"/>
  <c r="AP20" i="6" s="1"/>
  <c r="AO27" i="6" a="1"/>
  <c r="AO27" i="6" s="1"/>
  <c r="AR33" i="6" a="1"/>
  <c r="AR33" i="6" s="1"/>
  <c r="AP37" i="6" a="1"/>
  <c r="AP37" i="6" s="1"/>
  <c r="AO41" i="6" a="1"/>
  <c r="AO41" i="6" s="1"/>
  <c r="AQ44" i="6" a="1"/>
  <c r="AQ44" i="6" s="1"/>
  <c r="AO48" i="6" a="1"/>
  <c r="AO48" i="6" s="1"/>
  <c r="AN25" i="6" a="1"/>
  <c r="AN25" i="6" s="1"/>
  <c r="AN38" i="6" a="1"/>
  <c r="AN38" i="6" s="1"/>
  <c r="AO17" i="6" a="1"/>
  <c r="AO17" i="6" s="1"/>
  <c r="AR23" i="6" a="1"/>
  <c r="AR23" i="6" s="1"/>
  <c r="AQ30" i="6" a="1"/>
  <c r="AQ30" i="6" s="1"/>
  <c r="AQ37" i="6" a="1"/>
  <c r="AQ37" i="6" s="1"/>
  <c r="AQ20" i="6" a="1"/>
  <c r="AQ20" i="6" s="1"/>
  <c r="AO21" i="6" a="1"/>
  <c r="AO21" i="6" s="1"/>
  <c r="AR27" i="6" a="1"/>
  <c r="AR27" i="6" s="1"/>
  <c r="AP31" i="6" a="1"/>
  <c r="AP31" i="6" s="1"/>
  <c r="AP38" i="6" a="1"/>
  <c r="AP38" i="6" s="1"/>
  <c r="AR24" i="6" a="1"/>
  <c r="AR24" i="6" s="1"/>
  <c r="AP29" i="6" a="1"/>
  <c r="AP29" i="6" s="1"/>
  <c r="AO34" i="6" a="1"/>
  <c r="AO34" i="6" s="1"/>
  <c r="AN43" i="6" a="1"/>
  <c r="AN43" i="6" s="1"/>
  <c r="AP48" i="6" a="1"/>
  <c r="AP48" i="6" s="1"/>
  <c r="AN29" i="6" a="1"/>
  <c r="AN29" i="6" s="1"/>
  <c r="AR16" i="6" a="1"/>
  <c r="AR16" i="6" s="1"/>
  <c r="AN47" i="6" a="1"/>
  <c r="AN47" i="6" s="1"/>
  <c r="AR44" i="6" a="1"/>
  <c r="AR44" i="6" s="1"/>
  <c r="AO31" i="6" a="1"/>
  <c r="AO31" i="6" s="1"/>
  <c r="AR17" i="6" a="1"/>
  <c r="AR17" i="6" s="1"/>
  <c r="AO36" i="6" a="1"/>
  <c r="AO36" i="6" s="1"/>
  <c r="AO18" i="6" a="1"/>
  <c r="AO18" i="6" s="1"/>
  <c r="AQ27" i="6" a="1"/>
  <c r="AQ27" i="6" s="1"/>
  <c r="AP36" i="6" a="1"/>
  <c r="AP36" i="6" s="1"/>
  <c r="AQ41" i="6" a="1"/>
  <c r="AQ41" i="6" s="1"/>
  <c r="AR41" i="6" a="1"/>
  <c r="AR41" i="6" s="1"/>
  <c r="AQ28" i="6" a="1"/>
  <c r="AQ28" i="6" s="1"/>
  <c r="AO19" i="6" a="1"/>
  <c r="AO19" i="6" s="1"/>
  <c r="AP34" i="6" a="1"/>
  <c r="AP34" i="6" s="1"/>
  <c r="AR38" i="6" a="1"/>
  <c r="AR38" i="6" s="1"/>
  <c r="AO43" i="6" a="1"/>
  <c r="AO43" i="6" s="1"/>
  <c r="AN28" i="6" a="1"/>
  <c r="AN28" i="6" s="1"/>
  <c r="AN45" i="6" a="1"/>
  <c r="AN45" i="6" s="1"/>
  <c r="AQ48" i="6" a="1"/>
  <c r="AQ48" i="6" s="1"/>
  <c r="AN31" i="6" a="1"/>
  <c r="AN31" i="6" s="1"/>
  <c r="AR30" i="6" a="1"/>
  <c r="AR30" i="6" s="1"/>
  <c r="AR39" i="6" a="1"/>
  <c r="AR39" i="6" s="1"/>
  <c r="AP45" i="6" a="1"/>
  <c r="AP45" i="6" s="1"/>
  <c r="AN19" i="6" a="1"/>
  <c r="AN19" i="6" s="1"/>
  <c r="AQ22" i="6" a="1"/>
  <c r="AQ22" i="6" s="1"/>
  <c r="AR45" i="6" a="1"/>
  <c r="AR45" i="6" s="1"/>
  <c r="AR28" i="6" a="1"/>
  <c r="AR28" i="6" s="1"/>
  <c r="AR20" i="6" a="1"/>
  <c r="AR20" i="6" s="1"/>
  <c r="AO25" i="6" a="1"/>
  <c r="AO25" i="6" s="1"/>
  <c r="AQ29" i="6" a="1"/>
  <c r="AQ29" i="6" s="1"/>
  <c r="AQ34" i="6" a="1"/>
  <c r="AQ34" i="6" s="1"/>
  <c r="AP43" i="6" a="1"/>
  <c r="AP43" i="6" s="1"/>
  <c r="AP35" i="6" a="1"/>
  <c r="AP35" i="6" s="1"/>
  <c r="AQ39" i="6" a="1"/>
  <c r="AQ39" i="6" s="1"/>
  <c r="AR21" i="6" a="1"/>
  <c r="AR21" i="6" s="1"/>
  <c r="AO22" i="6" a="1"/>
  <c r="AO22" i="6" s="1"/>
  <c r="AP27" i="6" a="1"/>
  <c r="AP27" i="6" s="1"/>
  <c r="AN34" i="6" a="1"/>
  <c r="AN34" i="6" s="1"/>
  <c r="AO32" i="6" a="1"/>
  <c r="AO32" i="6" s="1"/>
  <c r="AP18" i="6" a="1"/>
  <c r="AP18" i="6" s="1"/>
  <c r="AP32" i="6" a="1"/>
  <c r="AP32" i="6" s="1"/>
  <c r="AO46" i="6" a="1"/>
  <c r="AO46" i="6" s="1"/>
  <c r="AO24" i="6" a="1"/>
  <c r="AO24" i="6" s="1"/>
  <c r="AN40" i="6" a="1"/>
  <c r="AN40" i="6" s="1"/>
  <c r="AN41" i="6" a="1"/>
  <c r="AN41" i="6" s="1"/>
  <c r="AP25" i="6" a="1"/>
  <c r="AP25" i="6" s="1"/>
  <c r="AR34" i="6" a="1"/>
  <c r="AR34" i="6" s="1"/>
  <c r="AO39" i="6" a="1"/>
  <c r="AO39" i="6" s="1"/>
  <c r="AQ43" i="6" a="1"/>
  <c r="AQ43" i="6" s="1"/>
  <c r="AO26" i="6" a="1"/>
  <c r="AO26" i="6" s="1"/>
  <c r="AN17" i="6" a="1"/>
  <c r="AN17" i="6" s="1"/>
  <c r="AP22" i="6" a="1"/>
  <c r="AP22" i="6" s="1"/>
  <c r="AP41" i="6" a="1"/>
  <c r="AP41" i="6" s="1"/>
  <c r="AR22" i="6" a="1"/>
  <c r="AR22" i="6" s="1"/>
  <c r="AN35" i="6" a="1"/>
  <c r="AN35" i="6" s="1"/>
  <c r="AP28" i="6" a="1"/>
  <c r="AP28" i="6" s="1"/>
  <c r="AN22" i="6" a="1"/>
  <c r="AN22" i="6" s="1"/>
  <c r="AO38" i="6" a="1"/>
  <c r="AO38" i="6" s="1"/>
  <c r="AO47" i="6" a="1"/>
  <c r="AO47" i="6" s="1"/>
  <c r="AQ40" i="6" a="1"/>
  <c r="AQ40" i="6" s="1"/>
  <c r="AQ25" i="6" a="1"/>
  <c r="AQ25" i="6" s="1"/>
  <c r="AR29" i="6" a="1"/>
  <c r="AR29" i="6" s="1"/>
  <c r="AO35" i="6" a="1"/>
  <c r="AO35" i="6" s="1"/>
  <c r="AR43" i="6" a="1"/>
  <c r="AR43" i="6" s="1"/>
  <c r="AN30" i="6" a="1"/>
  <c r="AN30" i="6" s="1"/>
  <c r="AN46" i="6" a="1"/>
  <c r="AN46" i="6" s="1"/>
  <c r="AP21" i="6" a="1"/>
  <c r="AP21" i="6" s="1"/>
  <c r="AR25" i="6" a="1"/>
  <c r="AR25" i="6" s="1"/>
  <c r="AP30" i="6" a="1"/>
  <c r="AP30" i="6" s="1"/>
  <c r="AP39" i="6" a="1"/>
  <c r="AP39" i="6" s="1"/>
  <c r="AR48" i="6" a="1"/>
  <c r="AR48" i="6" s="1"/>
  <c r="AQ21" i="6" a="1"/>
  <c r="AQ21" i="6" s="1"/>
  <c r="AN44" i="6" a="1"/>
  <c r="AN44" i="6" s="1"/>
  <c r="AQ36" i="6" a="1"/>
  <c r="AQ36" i="6" s="1"/>
  <c r="AR18" i="6" a="1"/>
  <c r="AR18" i="6" s="1"/>
  <c r="AP24" i="6" a="1"/>
  <c r="AP24" i="6" s="1"/>
  <c r="AO42" i="6" a="1"/>
  <c r="AO42" i="6" s="1"/>
  <c r="AR46" i="6" a="1"/>
  <c r="AR46" i="6" s="1"/>
  <c r="AN26" i="6" a="1"/>
  <c r="AN26" i="6" s="1"/>
  <c r="AP17" i="6" a="1"/>
  <c r="AP17" i="6" s="1"/>
  <c r="AQ35" i="6" a="1"/>
  <c r="AQ35" i="6" s="1"/>
  <c r="AN32" i="6" a="1"/>
  <c r="AN32" i="6" s="1"/>
  <c r="AN48" i="6" a="1"/>
  <c r="AN48" i="6" s="1"/>
  <c r="AP26" i="6" a="1"/>
  <c r="AP26" i="6" s="1"/>
  <c r="AO45" i="6" a="1"/>
  <c r="AO45" i="6" s="1"/>
  <c r="AQ46" i="6" a="1"/>
  <c r="AQ46" i="6" s="1"/>
  <c r="AQ17" i="6" a="1"/>
  <c r="AQ17" i="6" s="1"/>
  <c r="AQ31" i="6" a="1"/>
  <c r="AQ31" i="6" s="1"/>
  <c r="AR35" i="6" a="1"/>
  <c r="AR35" i="6" s="1"/>
  <c r="AN18" i="6" a="1"/>
  <c r="AN18" i="6" s="1"/>
  <c r="AN33" i="6" a="1"/>
  <c r="AN33" i="6" s="1"/>
  <c r="AR31" i="6" a="1"/>
  <c r="AR31" i="6" s="1"/>
  <c r="AQ45" i="6" a="1"/>
  <c r="AQ45" i="6" s="1"/>
  <c r="AN20" i="6" a="1"/>
  <c r="AN20" i="6" s="1"/>
  <c r="AN37" i="6" a="1"/>
  <c r="AN37" i="6" s="1"/>
  <c r="AO23" i="6" a="1"/>
  <c r="AO23" i="6" s="1"/>
  <c r="AN21" i="6" a="1"/>
  <c r="AN21" i="6" s="1"/>
  <c r="AR37" i="6" a="1"/>
  <c r="AR37" i="6" s="1"/>
  <c r="AR32" i="6" a="1"/>
  <c r="AR32" i="6" s="1"/>
  <c r="AQ18" i="6" a="1"/>
  <c r="AQ18" i="6" s="1"/>
  <c r="AQ23" i="6" a="1"/>
  <c r="AQ23" i="6" s="1"/>
  <c r="AO28" i="6" a="1"/>
  <c r="AO28" i="6" s="1"/>
  <c r="AQ32" i="6" a="1"/>
  <c r="AQ32" i="6" s="1"/>
  <c r="AO37" i="6" a="1"/>
  <c r="AO37" i="6" s="1"/>
  <c r="AP46" i="6" a="1"/>
  <c r="AP46" i="6" s="1"/>
  <c r="AN39" i="6" a="1"/>
  <c r="AN39" i="6" s="1"/>
  <c r="AP42" i="6" a="1"/>
  <c r="AP42" i="6" s="1"/>
  <c r="AO33" i="6" a="1"/>
  <c r="AO33" i="6" s="1"/>
  <c r="AQ19" i="6" a="1"/>
  <c r="AQ19" i="6" s="1"/>
  <c r="AQ38" i="6" a="1"/>
  <c r="AQ38" i="6" s="1"/>
  <c r="AP47" i="6" a="1"/>
  <c r="AP47" i="6" s="1"/>
  <c r="AQ24" i="6" a="1"/>
  <c r="AQ24" i="6" s="1"/>
  <c r="AR42" i="6" a="1"/>
  <c r="AR42" i="6" s="1"/>
  <c r="AN42" i="6" a="1"/>
  <c r="AN42" i="6" s="1"/>
  <c r="AO29" i="6" a="1"/>
  <c r="AO29" i="6" s="1"/>
  <c r="AQ42" i="6" a="1"/>
  <c r="AQ42" i="6" s="1"/>
  <c r="AN27" i="6" a="1"/>
  <c r="AN27" i="6" s="1"/>
  <c r="AP19" i="6" a="1"/>
  <c r="AP19" i="6" s="1"/>
  <c r="AS192" i="6"/>
  <c r="U191" i="6"/>
  <c r="BQ192" i="6"/>
  <c r="BQ193" i="6" s="1"/>
  <c r="BQ194" i="6" s="1"/>
  <c r="BQ195" i="6" s="1"/>
  <c r="BQ196" i="6" s="1"/>
  <c r="BQ197" i="6" s="1"/>
  <c r="BQ198" i="6" s="1"/>
  <c r="BQ199" i="6" s="1"/>
  <c r="BQ200" i="6" s="1"/>
  <c r="BQ201" i="6" s="1"/>
  <c r="BQ202" i="6" s="1"/>
  <c r="BQ203" i="6" s="1"/>
  <c r="BQ204" i="6" s="1"/>
  <c r="BQ205" i="6" s="1"/>
  <c r="BQ206" i="6" s="1"/>
  <c r="BQ207" i="6" s="1"/>
  <c r="BQ208" i="6" s="1"/>
  <c r="BQ209" i="6" s="1"/>
  <c r="BQ210" i="6" s="1"/>
  <c r="BQ211" i="6" s="1"/>
  <c r="BQ212" i="6" s="1"/>
  <c r="BQ213" i="6" s="1"/>
  <c r="BQ214" i="6" s="1"/>
  <c r="BQ215" i="6" s="1"/>
  <c r="BQ216" i="6" s="1"/>
  <c r="BQ217" i="6" s="1"/>
  <c r="BQ218" i="6" s="1"/>
  <c r="BQ219" i="6" s="1"/>
  <c r="BQ220" i="6" s="1"/>
  <c r="V51" i="6"/>
  <c r="U27" i="6"/>
  <c r="U28" i="6" s="1"/>
  <c r="U29" i="6" s="1"/>
  <c r="U30" i="6" s="1"/>
  <c r="U31" i="6" s="1"/>
  <c r="U32" i="6" s="1"/>
  <c r="U33" i="6" s="1"/>
  <c r="U34" i="6" s="1"/>
  <c r="U35" i="6" s="1"/>
  <c r="U36" i="6" s="1"/>
  <c r="U37" i="6" s="1"/>
  <c r="U38" i="6" s="1"/>
  <c r="U39" i="6" s="1"/>
  <c r="U40" i="6" s="1"/>
  <c r="U41" i="6" s="1"/>
  <c r="U42" i="6" s="1"/>
  <c r="U43" i="6" s="1"/>
  <c r="U44" i="6" s="1"/>
  <c r="U45" i="6" s="1"/>
  <c r="U46" i="6" s="1"/>
  <c r="U47" i="6" s="1"/>
  <c r="U48" i="6" s="1"/>
  <c r="B64" i="6"/>
  <c r="AW21" i="6" l="1"/>
  <c r="AW27" i="6"/>
  <c r="AX33" i="6"/>
  <c r="AX39" i="6"/>
  <c r="AX45" i="6"/>
  <c r="AT28" i="6"/>
  <c r="AV31" i="6"/>
  <c r="AX21" i="6"/>
  <c r="AX27" i="6"/>
  <c r="AU34" i="6"/>
  <c r="AU40" i="6"/>
  <c r="AU46" i="6"/>
  <c r="AT29" i="6"/>
  <c r="AV16" i="6"/>
  <c r="AV28" i="6"/>
  <c r="AW34" i="6"/>
  <c r="AW40" i="6"/>
  <c r="AW46" i="6"/>
  <c r="AU16" i="6"/>
  <c r="AU22" i="6"/>
  <c r="AU28" i="6"/>
  <c r="AV34" i="6"/>
  <c r="AV40" i="6"/>
  <c r="AV46" i="6"/>
  <c r="AT30" i="6"/>
  <c r="AV22" i="6"/>
  <c r="AW16" i="6"/>
  <c r="AW22" i="6"/>
  <c r="AW28" i="6"/>
  <c r="AX34" i="6"/>
  <c r="AX40" i="6"/>
  <c r="AX46" i="6"/>
  <c r="AT32" i="6"/>
  <c r="AX16" i="6"/>
  <c r="AX22" i="6"/>
  <c r="AX28" i="6"/>
  <c r="AU35" i="6"/>
  <c r="AU41" i="6"/>
  <c r="AU47" i="6"/>
  <c r="AT33" i="6"/>
  <c r="AU17" i="6"/>
  <c r="AU23" i="6"/>
  <c r="AU29" i="6"/>
  <c r="AV35" i="6"/>
  <c r="AV41" i="6"/>
  <c r="AV47" i="6"/>
  <c r="AT34" i="6"/>
  <c r="AU18" i="6"/>
  <c r="AU24" i="6"/>
  <c r="AU30" i="6"/>
  <c r="AV36" i="6"/>
  <c r="AV42" i="6"/>
  <c r="AV48" i="6"/>
  <c r="AT38" i="6"/>
  <c r="AV20" i="6"/>
  <c r="AV30" i="6"/>
  <c r="AW38" i="6"/>
  <c r="AW48" i="6"/>
  <c r="AT46" i="6"/>
  <c r="AU32" i="6"/>
  <c r="AV32" i="6"/>
  <c r="AV17" i="6"/>
  <c r="AW17" i="6"/>
  <c r="AU44" i="6"/>
  <c r="AV18" i="6"/>
  <c r="AT37" i="6"/>
  <c r="AX18" i="6"/>
  <c r="AU19" i="6"/>
  <c r="AT42" i="6"/>
  <c r="AW20" i="6"/>
  <c r="AW30" i="6"/>
  <c r="AX38" i="6"/>
  <c r="AX48" i="6"/>
  <c r="AT47" i="6"/>
  <c r="AU42" i="6"/>
  <c r="AW33" i="6"/>
  <c r="AX35" i="6"/>
  <c r="AV44" i="6"/>
  <c r="AV45" i="6"/>
  <c r="AX20" i="6"/>
  <c r="AX30" i="6"/>
  <c r="AU39" i="6"/>
  <c r="AT17" i="6"/>
  <c r="AT48" i="6"/>
  <c r="AX41" i="6"/>
  <c r="AT22" i="6"/>
  <c r="AW35" i="6"/>
  <c r="AU26" i="6"/>
  <c r="AV19" i="6"/>
  <c r="AX37" i="6"/>
  <c r="AU21" i="6"/>
  <c r="AU31" i="6"/>
  <c r="AV39" i="6"/>
  <c r="AT18" i="6"/>
  <c r="AT16" i="6"/>
  <c r="AT24" i="6"/>
  <c r="AV43" i="6"/>
  <c r="AW43" i="6"/>
  <c r="AT31" i="6"/>
  <c r="AT36" i="6"/>
  <c r="AW44" i="6"/>
  <c r="AU37" i="6"/>
  <c r="AV37" i="6"/>
  <c r="AV27" i="6"/>
  <c r="AW47" i="6"/>
  <c r="AV21" i="6"/>
  <c r="AW31" i="6"/>
  <c r="AW39" i="6"/>
  <c r="AT19" i="6"/>
  <c r="AV23" i="6"/>
  <c r="AX31" i="6"/>
  <c r="AW41" i="6"/>
  <c r="AT20" i="6"/>
  <c r="AW23" i="6"/>
  <c r="AT21" i="6"/>
  <c r="AX23" i="6"/>
  <c r="AV25" i="6"/>
  <c r="AX43" i="6"/>
  <c r="AT35" i="6"/>
  <c r="AX17" i="6"/>
  <c r="AU45" i="6"/>
  <c r="AU27" i="6"/>
  <c r="AW45" i="6"/>
  <c r="AV29" i="6"/>
  <c r="AT43" i="6"/>
  <c r="AV24" i="6"/>
  <c r="AW32" i="6"/>
  <c r="AW42" i="6"/>
  <c r="AT23" i="6"/>
  <c r="AW24" i="6"/>
  <c r="AX32" i="6"/>
  <c r="AX42" i="6"/>
  <c r="AX25" i="6"/>
  <c r="AV26" i="6"/>
  <c r="AX24" i="6"/>
  <c r="AU33" i="6"/>
  <c r="AU43" i="6"/>
  <c r="AT25" i="6"/>
  <c r="AU25" i="6"/>
  <c r="AV33" i="6"/>
  <c r="AT26" i="6"/>
  <c r="AT27" i="6"/>
  <c r="AW25" i="6"/>
  <c r="AU36" i="6"/>
  <c r="AW36" i="6"/>
  <c r="AX26" i="6"/>
  <c r="AT40" i="6"/>
  <c r="AW37" i="6"/>
  <c r="AW19" i="6"/>
  <c r="AW18" i="6"/>
  <c r="AW26" i="6"/>
  <c r="AX36" i="6"/>
  <c r="AX44" i="6"/>
  <c r="AT39" i="6"/>
  <c r="AT41" i="6"/>
  <c r="AX47" i="6"/>
  <c r="AU38" i="6"/>
  <c r="AU48" i="6"/>
  <c r="AX19" i="6"/>
  <c r="AU20" i="6"/>
  <c r="AW29" i="6"/>
  <c r="AX29" i="6"/>
  <c r="AV38" i="6"/>
  <c r="AT44" i="6"/>
  <c r="AT45" i="6"/>
  <c r="U192" i="6"/>
  <c r="AS193" i="6"/>
  <c r="B65" i="6" a="1"/>
  <c r="B65" i="6" s="1"/>
  <c r="O80" i="6" s="1" a="1"/>
  <c r="O80" i="6" s="1"/>
  <c r="B38" i="6"/>
  <c r="I49" i="6" s="1"/>
  <c r="B83" i="6"/>
  <c r="Q71" i="6"/>
  <c r="P71" i="6"/>
  <c r="O71" i="6"/>
  <c r="R71" i="6"/>
  <c r="S71" i="6"/>
  <c r="T24" i="4"/>
  <c r="T21" i="4"/>
  <c r="G31" i="4"/>
  <c r="T15" i="4" s="1"/>
  <c r="G30" i="4"/>
  <c r="G29" i="4"/>
  <c r="G28" i="4"/>
  <c r="T18" i="4" s="1"/>
  <c r="G27" i="4"/>
  <c r="T12" i="4" s="1"/>
  <c r="G26" i="4"/>
  <c r="G25" i="4"/>
  <c r="G24" i="4"/>
  <c r="G23" i="4"/>
  <c r="G22" i="4"/>
  <c r="G21" i="4"/>
  <c r="G20" i="4"/>
  <c r="G19" i="4"/>
  <c r="G18" i="4"/>
  <c r="G17" i="4"/>
  <c r="G16" i="4"/>
  <c r="G15" i="4"/>
  <c r="G14" i="4"/>
  <c r="G12" i="4"/>
  <c r="G13" i="4"/>
  <c r="AS194" i="6" l="1"/>
  <c r="U193" i="6"/>
  <c r="Q80" i="6" a="1"/>
  <c r="Q80" i="6" s="1"/>
  <c r="S80" i="6" a="1"/>
  <c r="S80" i="6" s="1"/>
  <c r="R80" i="6" a="1"/>
  <c r="R80" i="6" s="1"/>
  <c r="P80" i="6" a="1"/>
  <c r="P80" i="6" s="1"/>
  <c r="R92" i="6"/>
  <c r="Q92" i="6"/>
  <c r="O92" i="6"/>
  <c r="B85" i="6" a="1"/>
  <c r="B85" i="6" s="1"/>
  <c r="O107" i="6" s="1" a="1"/>
  <c r="O107" i="6" s="1"/>
  <c r="S92" i="6"/>
  <c r="P92" i="6"/>
  <c r="G2" i="11"/>
  <c r="U194" i="6" l="1"/>
  <c r="AS195" i="6"/>
  <c r="P107" i="6" a="1"/>
  <c r="P107" i="6" s="1"/>
  <c r="Q107" i="6" a="1"/>
  <c r="Q107" i="6" s="1"/>
  <c r="S107" i="6" a="1"/>
  <c r="S107" i="6" s="1"/>
  <c r="R107" i="6" a="1"/>
  <c r="R107" i="6" s="1"/>
  <c r="S15" i="6"/>
  <c r="R15" i="6"/>
  <c r="Q15" i="6"/>
  <c r="P15" i="6"/>
  <c r="O15" i="6"/>
  <c r="M15" i="6"/>
  <c r="L15" i="6"/>
  <c r="K15" i="6"/>
  <c r="J15" i="6"/>
  <c r="I15" i="6"/>
  <c r="AS196" i="6" l="1"/>
  <c r="U195" i="6"/>
  <c r="F28" i="7"/>
  <c r="E28" i="7"/>
  <c r="D28" i="7"/>
  <c r="C28" i="7"/>
  <c r="B28" i="7"/>
  <c r="F22" i="7"/>
  <c r="E22" i="7"/>
  <c r="D22" i="7"/>
  <c r="C22" i="7"/>
  <c r="B22" i="7"/>
  <c r="F2" i="7"/>
  <c r="E2" i="7"/>
  <c r="D2" i="7"/>
  <c r="C2" i="7"/>
  <c r="B2" i="7"/>
  <c r="U196" i="6" l="1"/>
  <c r="AS197" i="6"/>
  <c r="G15" i="6"/>
  <c r="F15" i="6"/>
  <c r="E15" i="6"/>
  <c r="D15" i="6"/>
  <c r="C15" i="6"/>
  <c r="G1" i="6"/>
  <c r="F1" i="6"/>
  <c r="E1" i="6"/>
  <c r="D1" i="6"/>
  <c r="C1" i="6"/>
  <c r="M24" i="4"/>
  <c r="M21" i="4"/>
  <c r="M18" i="4"/>
  <c r="M12" i="4"/>
  <c r="M15" i="4"/>
  <c r="A1" i="12"/>
  <c r="A1" i="16"/>
  <c r="A1" i="4"/>
  <c r="A1" i="13"/>
  <c r="AS198" i="6" l="1"/>
  <c r="U197" i="6"/>
  <c r="U198" i="6" s="1"/>
  <c r="U199" i="6" s="1"/>
  <c r="U200" i="6" s="1"/>
  <c r="U201" i="6" s="1"/>
  <c r="U202" i="6" s="1"/>
  <c r="U203" i="6" s="1"/>
  <c r="U204" i="6" s="1"/>
  <c r="U205" i="6" s="1"/>
  <c r="U206" i="6" s="1"/>
  <c r="U207" i="6" s="1"/>
  <c r="U208" i="6" s="1"/>
  <c r="U209" i="6" s="1"/>
  <c r="U210" i="6" s="1"/>
  <c r="U211" i="6" s="1"/>
  <c r="U212" i="6" s="1"/>
  <c r="U213" i="6" s="1"/>
  <c r="U214" i="6" s="1"/>
  <c r="U215" i="6" s="1"/>
  <c r="U216" i="6" s="1"/>
  <c r="U217" i="6" s="1"/>
  <c r="U218" i="6" s="1"/>
  <c r="U219" i="6" s="1"/>
  <c r="U220" i="6" s="1"/>
  <c r="O1" i="11"/>
  <c r="B9" i="6"/>
  <c r="A2" i="6"/>
  <c r="C2" i="6"/>
  <c r="D2" i="6"/>
  <c r="E2" i="6"/>
  <c r="F2" i="6"/>
  <c r="G2" i="6"/>
  <c r="A3" i="6"/>
  <c r="C3" i="6"/>
  <c r="D3" i="6"/>
  <c r="E3" i="6"/>
  <c r="F3" i="6"/>
  <c r="G3" i="6"/>
  <c r="A4" i="6"/>
  <c r="C4" i="6"/>
  <c r="D4" i="6"/>
  <c r="E4" i="6"/>
  <c r="F4" i="6"/>
  <c r="G4" i="6"/>
  <c r="C119" i="6"/>
  <c r="C120" i="6"/>
  <c r="C122" i="6"/>
  <c r="C123" i="6"/>
  <c r="A17" i="7"/>
  <c r="A18" i="7"/>
  <c r="A19" i="7"/>
  <c r="G3" i="11"/>
  <c r="G4" i="11"/>
  <c r="G5" i="11"/>
  <c r="G6" i="11"/>
  <c r="AS199" i="6" l="1"/>
  <c r="AS200" i="6" s="1"/>
  <c r="AS201" i="6" s="1"/>
  <c r="AS202" i="6" s="1"/>
  <c r="AS203" i="6" s="1"/>
  <c r="AS204" i="6" s="1"/>
  <c r="AS205" i="6" s="1"/>
  <c r="AS206" i="6" s="1"/>
  <c r="AS207" i="6" s="1"/>
  <c r="AS208" i="6" s="1"/>
  <c r="AS209" i="6" s="1"/>
  <c r="AS210" i="6" s="1"/>
  <c r="AS211" i="6" s="1"/>
  <c r="AS212" i="6" s="1"/>
  <c r="AS213" i="6" s="1"/>
  <c r="AS214" i="6" s="1"/>
  <c r="AS215" i="6" s="1"/>
  <c r="AS216" i="6" s="1"/>
  <c r="AS217" i="6" s="1"/>
  <c r="AS218" i="6" s="1"/>
  <c r="AS219" i="6" s="1"/>
  <c r="AS220" i="6" s="1"/>
  <c r="G6" i="6"/>
  <c r="B11" i="6"/>
  <c r="E6" i="6"/>
  <c r="C6" i="6"/>
  <c r="D6" i="6"/>
  <c r="F6" i="6"/>
  <c r="K17" i="6"/>
  <c r="L17" i="6"/>
  <c r="M17" i="6"/>
  <c r="I17" i="6"/>
  <c r="J17" i="6"/>
  <c r="O2" i="11" a="1"/>
  <c r="O2" i="11" s="1"/>
  <c r="O3" i="11" a="1"/>
  <c r="O3" i="11" s="1"/>
  <c r="K1" i="11"/>
  <c r="O6" i="11" a="1"/>
  <c r="O6" i="11" s="1"/>
  <c r="P44" i="6"/>
  <c r="Q44" i="6"/>
  <c r="R44" i="6"/>
  <c r="S44" i="6"/>
  <c r="O44" i="6"/>
  <c r="C44" i="6"/>
  <c r="C57" i="6"/>
  <c r="G57" i="6"/>
  <c r="F57" i="6"/>
  <c r="E57" i="6"/>
  <c r="D57" i="6"/>
  <c r="F49" i="6"/>
  <c r="F18" i="6" s="1"/>
  <c r="M52" i="6"/>
  <c r="M25" i="6" s="1"/>
  <c r="R49" i="6"/>
  <c r="P52" i="6"/>
  <c r="P25" i="6" s="1"/>
  <c r="S49" i="6"/>
  <c r="J52" i="6"/>
  <c r="J25" i="6" s="1"/>
  <c r="Q49" i="6"/>
  <c r="O52" i="6"/>
  <c r="O25" i="6" s="1"/>
  <c r="L52" i="6"/>
  <c r="L25" i="6" s="1"/>
  <c r="I52" i="6"/>
  <c r="I25" i="6" s="1"/>
  <c r="P49" i="6"/>
  <c r="O49" i="6"/>
  <c r="R52" i="6"/>
  <c r="R25" i="6" s="1"/>
  <c r="Q52" i="6"/>
  <c r="Q25" i="6" s="1"/>
  <c r="S52" i="6"/>
  <c r="S25" i="6" s="1"/>
  <c r="U18" i="16"/>
  <c r="G49" i="6"/>
  <c r="G18" i="6" s="1"/>
  <c r="G44" i="6"/>
  <c r="G17" i="6" s="1"/>
  <c r="M49" i="6"/>
  <c r="M18" i="6" s="1"/>
  <c r="F44" i="6"/>
  <c r="F17" i="6" s="1"/>
  <c r="I18" i="6"/>
  <c r="J49" i="6"/>
  <c r="J18" i="6" s="1"/>
  <c r="D44" i="6"/>
  <c r="D17" i="6" s="1"/>
  <c r="D49" i="6"/>
  <c r="D18" i="6" s="1"/>
  <c r="L49" i="6"/>
  <c r="L18" i="6" s="1"/>
  <c r="E49" i="6"/>
  <c r="E18" i="6" s="1"/>
  <c r="K49" i="6"/>
  <c r="K18" i="6" s="1"/>
  <c r="K52" i="6"/>
  <c r="K25" i="6" s="1"/>
  <c r="E44" i="6"/>
  <c r="E17" i="6" s="1"/>
  <c r="C49" i="6"/>
  <c r="C18" i="6" s="1"/>
  <c r="B12" i="6" l="1" a="1"/>
  <c r="B12" i="6" s="1"/>
  <c r="AJ16" i="6" a="1"/>
  <c r="AJ16" i="6" s="1"/>
  <c r="D2" i="11" s="1"/>
  <c r="AJ19" i="6" a="1"/>
  <c r="AJ19" i="6" s="1"/>
  <c r="D5" i="11" s="1"/>
  <c r="AK22" i="6" a="1"/>
  <c r="AK22" i="6" s="1"/>
  <c r="E8" i="11" s="1"/>
  <c r="AK25" i="6" a="1"/>
  <c r="AK25" i="6" s="1"/>
  <c r="E11" i="11" s="1"/>
  <c r="AK28" i="6" a="1"/>
  <c r="AK28" i="6" s="1"/>
  <c r="E14" i="11" s="1"/>
  <c r="AK31" i="6" a="1"/>
  <c r="AK31" i="6" s="1"/>
  <c r="E17" i="11" s="1"/>
  <c r="AK34" i="6" a="1"/>
  <c r="AK34" i="6" s="1"/>
  <c r="E20" i="11" s="1"/>
  <c r="AK37" i="6" a="1"/>
  <c r="AK37" i="6" s="1"/>
  <c r="E23" i="11" s="1"/>
  <c r="AK40" i="6" a="1"/>
  <c r="AK40" i="6" s="1"/>
  <c r="E26" i="11" s="1"/>
  <c r="AK43" i="6" a="1"/>
  <c r="AK43" i="6" s="1"/>
  <c r="E29" i="11" s="1"/>
  <c r="AK46" i="6" a="1"/>
  <c r="AK46" i="6" s="1"/>
  <c r="E32" i="11" s="1"/>
  <c r="AH20" i="6" a="1"/>
  <c r="AH20" i="6" s="1"/>
  <c r="B6" i="11" s="1"/>
  <c r="AH33" i="6" a="1"/>
  <c r="AH33" i="6" s="1"/>
  <c r="B19" i="11" s="1"/>
  <c r="AH46" i="6" a="1"/>
  <c r="AH46" i="6" s="1"/>
  <c r="B32" i="11" s="1"/>
  <c r="AH21" i="6" a="1"/>
  <c r="AH21" i="6" s="1"/>
  <c r="B7" i="11" s="1"/>
  <c r="AH34" i="6" a="1"/>
  <c r="AH34" i="6" s="1"/>
  <c r="B20" i="11" s="1"/>
  <c r="AH47" i="6" a="1"/>
  <c r="AH47" i="6" s="1"/>
  <c r="B33" i="11" s="1"/>
  <c r="AK16" i="6" a="1"/>
  <c r="AK16" i="6" s="1"/>
  <c r="E2" i="11" s="1"/>
  <c r="AK19" i="6" a="1"/>
  <c r="AK19" i="6" s="1"/>
  <c r="E5" i="11" s="1"/>
  <c r="AL22" i="6" a="1"/>
  <c r="AL22" i="6" s="1"/>
  <c r="F8" i="11" s="1"/>
  <c r="AL25" i="6" a="1"/>
  <c r="AL25" i="6" s="1"/>
  <c r="F11" i="11" s="1"/>
  <c r="AL28" i="6" a="1"/>
  <c r="AL28" i="6" s="1"/>
  <c r="F14" i="11" s="1"/>
  <c r="AL31" i="6" a="1"/>
  <c r="AL31" i="6" s="1"/>
  <c r="F17" i="11" s="1"/>
  <c r="AL34" i="6" a="1"/>
  <c r="AL34" i="6" s="1"/>
  <c r="F20" i="11" s="1"/>
  <c r="AL37" i="6" a="1"/>
  <c r="AL37" i="6" s="1"/>
  <c r="F23" i="11" s="1"/>
  <c r="AL40" i="6" a="1"/>
  <c r="AL40" i="6" s="1"/>
  <c r="F26" i="11" s="1"/>
  <c r="AL43" i="6" a="1"/>
  <c r="AL43" i="6" s="1"/>
  <c r="F29" i="11" s="1"/>
  <c r="AL46" i="6" a="1"/>
  <c r="AL46" i="6" s="1"/>
  <c r="F32" i="11" s="1"/>
  <c r="AL16" i="6" a="1"/>
  <c r="AL16" i="6" s="1"/>
  <c r="F2" i="11" s="1"/>
  <c r="AL19" i="6" a="1"/>
  <c r="AL19" i="6" s="1"/>
  <c r="F5" i="11" s="1"/>
  <c r="AI23" i="6" a="1"/>
  <c r="AI23" i="6" s="1"/>
  <c r="C9" i="11" s="1"/>
  <c r="AI26" i="6" a="1"/>
  <c r="AI26" i="6" s="1"/>
  <c r="C12" i="11" s="1"/>
  <c r="AI29" i="6" a="1"/>
  <c r="AI29" i="6" s="1"/>
  <c r="C15" i="11" s="1"/>
  <c r="AI32" i="6" a="1"/>
  <c r="AI32" i="6" s="1"/>
  <c r="C18" i="11" s="1"/>
  <c r="AI35" i="6" a="1"/>
  <c r="AI35" i="6" s="1"/>
  <c r="C21" i="11" s="1"/>
  <c r="AI38" i="6" a="1"/>
  <c r="AI38" i="6" s="1"/>
  <c r="C24" i="11" s="1"/>
  <c r="AI41" i="6" a="1"/>
  <c r="AI41" i="6" s="1"/>
  <c r="C27" i="11" s="1"/>
  <c r="AI44" i="6" a="1"/>
  <c r="AI44" i="6" s="1"/>
  <c r="C30" i="11" s="1"/>
  <c r="AI47" i="6" a="1"/>
  <c r="AI47" i="6" s="1"/>
  <c r="C33" i="11" s="1"/>
  <c r="AH48" i="6" a="1"/>
  <c r="AH48" i="6" s="1"/>
  <c r="B34" i="11" s="1"/>
  <c r="AI17" i="6" a="1"/>
  <c r="AI17" i="6" s="1"/>
  <c r="C3" i="11" s="1"/>
  <c r="AH22" i="6" a="1"/>
  <c r="AH22" i="6" s="1"/>
  <c r="B8" i="11" s="1"/>
  <c r="AH35" i="6" a="1"/>
  <c r="AH35" i="6" s="1"/>
  <c r="B21" i="11" s="1"/>
  <c r="AI20" i="6" a="1"/>
  <c r="AI20" i="6" s="1"/>
  <c r="C6" i="11" s="1"/>
  <c r="AJ23" i="6" a="1"/>
  <c r="AJ23" i="6" s="1"/>
  <c r="D9" i="11" s="1"/>
  <c r="AJ26" i="6" a="1"/>
  <c r="AJ26" i="6" s="1"/>
  <c r="D12" i="11" s="1"/>
  <c r="AJ29" i="6" a="1"/>
  <c r="AJ29" i="6" s="1"/>
  <c r="D15" i="11" s="1"/>
  <c r="AJ32" i="6" a="1"/>
  <c r="AJ32" i="6" s="1"/>
  <c r="D18" i="11" s="1"/>
  <c r="AJ35" i="6" a="1"/>
  <c r="AJ35" i="6" s="1"/>
  <c r="D21" i="11" s="1"/>
  <c r="AJ38" i="6" a="1"/>
  <c r="AJ38" i="6" s="1"/>
  <c r="D24" i="11" s="1"/>
  <c r="AJ41" i="6" a="1"/>
  <c r="AJ41" i="6" s="1"/>
  <c r="D27" i="11" s="1"/>
  <c r="AJ44" i="6" a="1"/>
  <c r="AJ44" i="6" s="1"/>
  <c r="D30" i="11" s="1"/>
  <c r="AJ47" i="6" a="1"/>
  <c r="AJ47" i="6" s="1"/>
  <c r="D33" i="11" s="1"/>
  <c r="AH36" i="6" a="1"/>
  <c r="AH36" i="6" s="1"/>
  <c r="B22" i="11" s="1"/>
  <c r="AH16" i="6" a="1"/>
  <c r="AH16" i="6" s="1"/>
  <c r="B2" i="11" s="1"/>
  <c r="AK17" i="6" a="1"/>
  <c r="AK17" i="6" s="1"/>
  <c r="E3" i="11" s="1"/>
  <c r="AK20" i="6" a="1"/>
  <c r="AK20" i="6" s="1"/>
  <c r="E6" i="11" s="1"/>
  <c r="AL23" i="6" a="1"/>
  <c r="AL23" i="6" s="1"/>
  <c r="F9" i="11" s="1"/>
  <c r="AL26" i="6" a="1"/>
  <c r="AL26" i="6" s="1"/>
  <c r="F12" i="11" s="1"/>
  <c r="AL29" i="6" a="1"/>
  <c r="AL29" i="6" s="1"/>
  <c r="F15" i="11" s="1"/>
  <c r="AL32" i="6" a="1"/>
  <c r="AL32" i="6" s="1"/>
  <c r="F18" i="11" s="1"/>
  <c r="AL35" i="6" a="1"/>
  <c r="AL35" i="6" s="1"/>
  <c r="F21" i="11" s="1"/>
  <c r="AL38" i="6" a="1"/>
  <c r="AL38" i="6" s="1"/>
  <c r="F24" i="11" s="1"/>
  <c r="AL41" i="6" a="1"/>
  <c r="AL41" i="6" s="1"/>
  <c r="F27" i="11" s="1"/>
  <c r="AL44" i="6" a="1"/>
  <c r="AL44" i="6" s="1"/>
  <c r="F30" i="11" s="1"/>
  <c r="AL47" i="6" a="1"/>
  <c r="AL47" i="6" s="1"/>
  <c r="F33" i="11" s="1"/>
  <c r="AH25" i="6" a="1"/>
  <c r="AH25" i="6" s="1"/>
  <c r="B11" i="11" s="1"/>
  <c r="AH38" i="6" a="1"/>
  <c r="AH38" i="6" s="1"/>
  <c r="B24" i="11" s="1"/>
  <c r="AJ22" i="6" a="1"/>
  <c r="AJ22" i="6" s="1"/>
  <c r="D8" i="11" s="1"/>
  <c r="AL20" i="6" a="1"/>
  <c r="AL20" i="6" s="1"/>
  <c r="F6" i="11" s="1"/>
  <c r="AI25" i="6" a="1"/>
  <c r="AI25" i="6" s="1"/>
  <c r="C11" i="11" s="1"/>
  <c r="AI30" i="6" a="1"/>
  <c r="AI30" i="6" s="1"/>
  <c r="C16" i="11" s="1"/>
  <c r="AI34" i="6" a="1"/>
  <c r="AI34" i="6" s="1"/>
  <c r="C20" i="11" s="1"/>
  <c r="AI39" i="6" a="1"/>
  <c r="AI39" i="6" s="1"/>
  <c r="C25" i="11" s="1"/>
  <c r="AI43" i="6" a="1"/>
  <c r="AI43" i="6" s="1"/>
  <c r="C29" i="11" s="1"/>
  <c r="AI48" i="6" a="1"/>
  <c r="AI48" i="6" s="1"/>
  <c r="C34" i="11" s="1"/>
  <c r="AL30" i="6" a="1"/>
  <c r="AL30" i="6" s="1"/>
  <c r="F16" i="11" s="1"/>
  <c r="AK27" i="6" a="1"/>
  <c r="AK27" i="6" s="1"/>
  <c r="E13" i="11" s="1"/>
  <c r="AK23" i="6" a="1"/>
  <c r="AK23" i="6" s="1"/>
  <c r="E9" i="11" s="1"/>
  <c r="AL36" i="6" a="1"/>
  <c r="AL36" i="6" s="1"/>
  <c r="F22" i="11" s="1"/>
  <c r="AL45" i="6" a="1"/>
  <c r="AL45" i="6" s="1"/>
  <c r="F31" i="11" s="1"/>
  <c r="AI24" i="6" a="1"/>
  <c r="AI24" i="6" s="1"/>
  <c r="C10" i="11" s="1"/>
  <c r="AJ28" i="6" a="1"/>
  <c r="AJ28" i="6" s="1"/>
  <c r="D14" i="11" s="1"/>
  <c r="AH45" i="6" a="1"/>
  <c r="AH45" i="6" s="1"/>
  <c r="B31" i="11" s="1"/>
  <c r="AK24" i="6" a="1"/>
  <c r="AK24" i="6" s="1"/>
  <c r="E10" i="11" s="1"/>
  <c r="AH31" i="6" a="1"/>
  <c r="AH31" i="6" s="1"/>
  <c r="B17" i="11" s="1"/>
  <c r="AK26" i="6" a="1"/>
  <c r="AK26" i="6" s="1"/>
  <c r="E12" i="11" s="1"/>
  <c r="AK21" i="6" a="1"/>
  <c r="AK21" i="6" s="1"/>
  <c r="E7" i="11" s="1"/>
  <c r="AI37" i="6" a="1"/>
  <c r="AI37" i="6" s="1"/>
  <c r="C23" i="11" s="1"/>
  <c r="AJ46" i="6" a="1"/>
  <c r="AJ46" i="6" s="1"/>
  <c r="D32" i="11" s="1"/>
  <c r="AK42" i="6" a="1"/>
  <c r="AK42" i="6" s="1"/>
  <c r="E28" i="11" s="1"/>
  <c r="AK29" i="6" a="1"/>
  <c r="AK29" i="6" s="1"/>
  <c r="E15" i="11" s="1"/>
  <c r="AI16" i="6" a="1"/>
  <c r="AI16" i="6" s="1"/>
  <c r="C2" i="11" s="1"/>
  <c r="AI21" i="6" a="1"/>
  <c r="AI21" i="6" s="1"/>
  <c r="C7" i="11" s="1"/>
  <c r="AJ25" i="6" a="1"/>
  <c r="AJ25" i="6" s="1"/>
  <c r="D11" i="11" s="1"/>
  <c r="AJ30" i="6" a="1"/>
  <c r="AJ30" i="6" s="1"/>
  <c r="D16" i="11" s="1"/>
  <c r="AJ34" i="6" a="1"/>
  <c r="AJ34" i="6" s="1"/>
  <c r="D20" i="11" s="1"/>
  <c r="AJ39" i="6" a="1"/>
  <c r="AJ39" i="6" s="1"/>
  <c r="D25" i="11" s="1"/>
  <c r="AJ43" i="6" a="1"/>
  <c r="AJ43" i="6" s="1"/>
  <c r="D29" i="11" s="1"/>
  <c r="AJ48" i="6" a="1"/>
  <c r="AJ48" i="6" s="1"/>
  <c r="D34" i="11" s="1"/>
  <c r="AH41" i="6" a="1"/>
  <c r="AH41" i="6" s="1"/>
  <c r="B27" i="11" s="1"/>
  <c r="AH42" i="6" a="1"/>
  <c r="AH42" i="6" s="1"/>
  <c r="B28" i="11" s="1"/>
  <c r="AI46" i="6" a="1"/>
  <c r="AI46" i="6" s="1"/>
  <c r="C32" i="11" s="1"/>
  <c r="AI19" i="6" a="1"/>
  <c r="AI19" i="6" s="1"/>
  <c r="C5" i="11" s="1"/>
  <c r="AK33" i="6" a="1"/>
  <c r="AK33" i="6" s="1"/>
  <c r="E19" i="11" s="1"/>
  <c r="AH32" i="6" a="1"/>
  <c r="AH32" i="6" s="1"/>
  <c r="B18" i="11" s="1"/>
  <c r="AH37" i="6" a="1"/>
  <c r="AH37" i="6" s="1"/>
  <c r="B23" i="11" s="1"/>
  <c r="AH23" i="6" a="1"/>
  <c r="AH23" i="6" s="1"/>
  <c r="B9" i="11" s="1"/>
  <c r="AH24" i="6" a="1"/>
  <c r="AH24" i="6" s="1"/>
  <c r="B10" i="11" s="1"/>
  <c r="AL27" i="6" a="1"/>
  <c r="AL27" i="6" s="1"/>
  <c r="F13" i="11" s="1"/>
  <c r="AH43" i="6" a="1"/>
  <c r="AH43" i="6" s="1"/>
  <c r="B29" i="11" s="1"/>
  <c r="AI33" i="6" a="1"/>
  <c r="AI33" i="6" s="1"/>
  <c r="C19" i="11" s="1"/>
  <c r="AH26" i="6" a="1"/>
  <c r="AH26" i="6" s="1"/>
  <c r="B12" i="11" s="1"/>
  <c r="AJ33" i="6" a="1"/>
  <c r="AJ33" i="6" s="1"/>
  <c r="D19" i="11" s="1"/>
  <c r="AJ20" i="6" a="1"/>
  <c r="AJ20" i="6" s="1"/>
  <c r="D6" i="11" s="1"/>
  <c r="AJ21" i="6" a="1"/>
  <c r="AJ21" i="6" s="1"/>
  <c r="D7" i="11" s="1"/>
  <c r="AK30" i="6" a="1"/>
  <c r="AK30" i="6" s="1"/>
  <c r="E16" i="11" s="1"/>
  <c r="AK39" i="6" a="1"/>
  <c r="AK39" i="6" s="1"/>
  <c r="E25" i="11" s="1"/>
  <c r="AK48" i="6" a="1"/>
  <c r="AK48" i="6" s="1"/>
  <c r="E34" i="11" s="1"/>
  <c r="AJ17" i="6" a="1"/>
  <c r="AJ17" i="6" s="1"/>
  <c r="D3" i="11" s="1"/>
  <c r="AK35" i="6" a="1"/>
  <c r="AK35" i="6" s="1"/>
  <c r="E21" i="11" s="1"/>
  <c r="AK44" i="6" a="1"/>
  <c r="AK44" i="6" s="1"/>
  <c r="E30" i="11" s="1"/>
  <c r="AL39" i="6" a="1"/>
  <c r="AL39" i="6" s="1"/>
  <c r="F25" i="11" s="1"/>
  <c r="AL48" i="6" a="1"/>
  <c r="AL48" i="6" s="1"/>
  <c r="F34" i="11" s="1"/>
  <c r="AK36" i="6" a="1"/>
  <c r="AK36" i="6" s="1"/>
  <c r="E22" i="11" s="1"/>
  <c r="AK41" i="6" a="1"/>
  <c r="AK41" i="6" s="1"/>
  <c r="E27" i="11" s="1"/>
  <c r="AI28" i="6" a="1"/>
  <c r="AI28" i="6" s="1"/>
  <c r="C14" i="11" s="1"/>
  <c r="AJ24" i="6" a="1"/>
  <c r="AJ24" i="6" s="1"/>
  <c r="D10" i="11" s="1"/>
  <c r="AK47" i="6" a="1"/>
  <c r="AK47" i="6" s="1"/>
  <c r="E33" i="11" s="1"/>
  <c r="AI42" i="6" a="1"/>
  <c r="AI42" i="6" s="1"/>
  <c r="C28" i="11" s="1"/>
  <c r="AL17" i="6" a="1"/>
  <c r="AL17" i="6" s="1"/>
  <c r="F3" i="11" s="1"/>
  <c r="AL21" i="6" a="1"/>
  <c r="AL21" i="6" s="1"/>
  <c r="F7" i="11" s="1"/>
  <c r="AI27" i="6" a="1"/>
  <c r="AI27" i="6" s="1"/>
  <c r="C13" i="11" s="1"/>
  <c r="AI31" i="6" a="1"/>
  <c r="AI31" i="6" s="1"/>
  <c r="C17" i="11" s="1"/>
  <c r="AI36" i="6" a="1"/>
  <c r="AI36" i="6" s="1"/>
  <c r="C22" i="11" s="1"/>
  <c r="AI40" i="6" a="1"/>
  <c r="AI40" i="6" s="1"/>
  <c r="C26" i="11" s="1"/>
  <c r="AI45" i="6" a="1"/>
  <c r="AI45" i="6" s="1"/>
  <c r="C31" i="11" s="1"/>
  <c r="AH17" i="6" a="1"/>
  <c r="AH17" i="6" s="1"/>
  <c r="B3" i="11" s="1"/>
  <c r="AH39" i="6" a="1"/>
  <c r="AH39" i="6" s="1"/>
  <c r="B25" i="11" s="1"/>
  <c r="AH18" i="6" a="1"/>
  <c r="AH18" i="6" s="1"/>
  <c r="B4" i="11" s="1"/>
  <c r="AJ37" i="6" a="1"/>
  <c r="AJ37" i="6" s="1"/>
  <c r="D23" i="11" s="1"/>
  <c r="AI18" i="6" a="1"/>
  <c r="AI18" i="6" s="1"/>
  <c r="C4" i="11" s="1"/>
  <c r="AI22" i="6" a="1"/>
  <c r="AI22" i="6" s="1"/>
  <c r="C8" i="11" s="1"/>
  <c r="AJ27" i="6" a="1"/>
  <c r="AJ27" i="6" s="1"/>
  <c r="D13" i="11" s="1"/>
  <c r="AJ31" i="6" a="1"/>
  <c r="AJ31" i="6" s="1"/>
  <c r="D17" i="11" s="1"/>
  <c r="AJ36" i="6" a="1"/>
  <c r="AJ36" i="6" s="1"/>
  <c r="D22" i="11" s="1"/>
  <c r="AJ40" i="6" a="1"/>
  <c r="AJ40" i="6" s="1"/>
  <c r="D26" i="11" s="1"/>
  <c r="AJ45" i="6" a="1"/>
  <c r="AJ45" i="6" s="1"/>
  <c r="D31" i="11" s="1"/>
  <c r="AH40" i="6" a="1"/>
  <c r="AH40" i="6" s="1"/>
  <c r="B26" i="11" s="1"/>
  <c r="AH19" i="6" a="1"/>
  <c r="AH19" i="6" s="1"/>
  <c r="B5" i="11" s="1"/>
  <c r="AJ18" i="6" a="1"/>
  <c r="AJ18" i="6" s="1"/>
  <c r="D4" i="11" s="1"/>
  <c r="AK45" i="6" a="1"/>
  <c r="AK45" i="6" s="1"/>
  <c r="E31" i="11" s="1"/>
  <c r="AK32" i="6" a="1"/>
  <c r="AK32" i="6" s="1"/>
  <c r="E18" i="11" s="1"/>
  <c r="AK18" i="6" a="1"/>
  <c r="AK18" i="6" s="1"/>
  <c r="E4" i="11" s="1"/>
  <c r="AL18" i="6" a="1"/>
  <c r="AL18" i="6" s="1"/>
  <c r="F4" i="11" s="1"/>
  <c r="AJ42" i="6" a="1"/>
  <c r="AJ42" i="6" s="1"/>
  <c r="D28" i="11" s="1"/>
  <c r="AH28" i="6" a="1"/>
  <c r="AH28" i="6" s="1"/>
  <c r="B14" i="11" s="1"/>
  <c r="AK38" i="6" a="1"/>
  <c r="AK38" i="6" s="1"/>
  <c r="E24" i="11" s="1"/>
  <c r="AH44" i="6" a="1"/>
  <c r="AH44" i="6" s="1"/>
  <c r="B30" i="11" s="1"/>
  <c r="AH27" i="6" a="1"/>
  <c r="AH27" i="6" s="1"/>
  <c r="B13" i="11" s="1"/>
  <c r="AL33" i="6" a="1"/>
  <c r="AL33" i="6" s="1"/>
  <c r="F19" i="11" s="1"/>
  <c r="AL42" i="6" a="1"/>
  <c r="AL42" i="6" s="1"/>
  <c r="F28" i="11" s="1"/>
  <c r="AH29" i="6" a="1"/>
  <c r="AH29" i="6" s="1"/>
  <c r="B15" i="11" s="1"/>
  <c r="AL24" i="6" a="1"/>
  <c r="AL24" i="6" s="1"/>
  <c r="F10" i="11" s="1"/>
  <c r="AH30" i="6" a="1"/>
  <c r="AH30" i="6" s="1"/>
  <c r="B16" i="11" s="1"/>
  <c r="O17" i="6" a="1"/>
  <c r="O17" i="6" s="1"/>
  <c r="O18" i="6" a="1"/>
  <c r="O18" i="6" s="1"/>
  <c r="S18" i="6" a="1"/>
  <c r="S18" i="6" s="1"/>
  <c r="S17" i="6" a="1"/>
  <c r="S17" i="6" s="1"/>
  <c r="R17" i="6" a="1"/>
  <c r="R17" i="6" s="1"/>
  <c r="P18" i="6" a="1"/>
  <c r="P18" i="6" s="1"/>
  <c r="Q18" i="6" a="1"/>
  <c r="Q18" i="6" s="1"/>
  <c r="R18" i="6" a="1"/>
  <c r="R18" i="6" s="1"/>
  <c r="Q17" i="6" a="1"/>
  <c r="Q17" i="6" s="1"/>
  <c r="C17" i="6"/>
  <c r="C24" i="6" s="1"/>
  <c r="J2" i="11" a="1"/>
  <c r="J25" i="11" s="1"/>
  <c r="P17" i="6" a="1"/>
  <c r="P17" i="6" s="1"/>
  <c r="G16" i="6"/>
  <c r="L18" i="16"/>
  <c r="I18" i="16"/>
  <c r="O18" i="16"/>
  <c r="R18" i="16"/>
  <c r="G24" i="6"/>
  <c r="F24" i="6"/>
  <c r="D24" i="6"/>
  <c r="E24" i="6"/>
  <c r="J19" i="11" l="1"/>
  <c r="J7" i="11"/>
  <c r="J41" i="11"/>
  <c r="J13" i="11"/>
  <c r="J30" i="11"/>
  <c r="J36" i="11"/>
  <c r="J42" i="11"/>
  <c r="J12" i="11"/>
  <c r="J6" i="11"/>
  <c r="J46" i="11"/>
  <c r="J18" i="11"/>
  <c r="J35" i="11"/>
  <c r="J29" i="11"/>
  <c r="J45" i="11"/>
  <c r="J17" i="11"/>
  <c r="J11" i="11"/>
  <c r="J5" i="11"/>
  <c r="J44" i="11"/>
  <c r="J40" i="11"/>
  <c r="J34" i="11"/>
  <c r="J28" i="11"/>
  <c r="J43" i="11"/>
  <c r="J16" i="11"/>
  <c r="J10" i="11"/>
  <c r="J4" i="11"/>
  <c r="J24" i="11"/>
  <c r="J39" i="11"/>
  <c r="J33" i="11"/>
  <c r="J27" i="11"/>
  <c r="J23" i="11"/>
  <c r="J15" i="11"/>
  <c r="J9" i="11"/>
  <c r="J3" i="11"/>
  <c r="J22" i="11"/>
  <c r="J38" i="11"/>
  <c r="J32" i="11"/>
  <c r="J26" i="11"/>
  <c r="J21" i="11"/>
  <c r="J14" i="11"/>
  <c r="J8" i="11"/>
  <c r="J2" i="11"/>
  <c r="J20" i="11"/>
  <c r="J37" i="11"/>
  <c r="J31" i="11"/>
  <c r="G20" i="6"/>
  <c r="Z4" i="6"/>
  <c r="G23" i="6"/>
  <c r="M23" i="6" s="1"/>
  <c r="M26" i="6" s="1"/>
  <c r="M16" i="6"/>
  <c r="M19" i="6" s="1"/>
  <c r="S16" i="6"/>
  <c r="S19" i="6" s="1"/>
  <c r="G19" i="6"/>
  <c r="G21" i="6"/>
  <c r="F16" i="6"/>
  <c r="Y4" i="6" s="1"/>
  <c r="E16" i="6"/>
  <c r="X4" i="6" s="1"/>
  <c r="D16" i="6"/>
  <c r="W4" i="6" s="1"/>
  <c r="C16" i="6"/>
  <c r="V4" i="6" s="1"/>
  <c r="AL146" i="6" l="1"/>
  <c r="CH146" i="6"/>
  <c r="Z146" i="6"/>
  <c r="BJ146" i="6"/>
  <c r="AX146" i="6"/>
  <c r="BV146" i="6"/>
  <c r="AL186" i="6"/>
  <c r="CH186" i="6"/>
  <c r="BJ186" i="6"/>
  <c r="BV186" i="6"/>
  <c r="Z186" i="6"/>
  <c r="AX186" i="6"/>
  <c r="AI146" i="6"/>
  <c r="CE146" i="6"/>
  <c r="BS146" i="6"/>
  <c r="AU146" i="6"/>
  <c r="BG146" i="6"/>
  <c r="W186" i="6"/>
  <c r="W146" i="6"/>
  <c r="AI186" i="6"/>
  <c r="CE186" i="6"/>
  <c r="BG186" i="6"/>
  <c r="BS186" i="6"/>
  <c r="AU186" i="6"/>
  <c r="AJ146" i="6"/>
  <c r="BT146" i="6"/>
  <c r="BH146" i="6"/>
  <c r="CF146" i="6"/>
  <c r="X146" i="6"/>
  <c r="AV146" i="6"/>
  <c r="AJ186" i="6"/>
  <c r="CF186" i="6"/>
  <c r="BH186" i="6"/>
  <c r="BT186" i="6"/>
  <c r="X186" i="6"/>
  <c r="AV186" i="6"/>
  <c r="AH146" i="6"/>
  <c r="V146" i="6"/>
  <c r="BR146" i="6"/>
  <c r="CD146" i="6"/>
  <c r="BF146" i="6"/>
  <c r="AT146" i="6"/>
  <c r="V144" i="6" s="1" a="1"/>
  <c r="V144" i="6" s="1"/>
  <c r="CD186" i="6"/>
  <c r="BF186" i="6"/>
  <c r="AH186" i="6"/>
  <c r="BR186" i="6"/>
  <c r="V186" i="6"/>
  <c r="AT186" i="6"/>
  <c r="AK146" i="6"/>
  <c r="Y186" i="6"/>
  <c r="CG146" i="6"/>
  <c r="AK186" i="6"/>
  <c r="Y146" i="6"/>
  <c r="BI146" i="6"/>
  <c r="BU146" i="6"/>
  <c r="AW146" i="6"/>
  <c r="Y144" i="6" s="1" a="1"/>
  <c r="Y144" i="6" s="1"/>
  <c r="CG186" i="6"/>
  <c r="BI186" i="6"/>
  <c r="BU186" i="6"/>
  <c r="AW186" i="6"/>
  <c r="BF103" i="6"/>
  <c r="V103" i="6"/>
  <c r="BR103" i="6"/>
  <c r="AT103" i="6"/>
  <c r="AH103" i="6"/>
  <c r="CD103" i="6"/>
  <c r="V14" i="6"/>
  <c r="W14" i="6"/>
  <c r="AU103" i="6"/>
  <c r="AI103" i="6"/>
  <c r="BS103" i="6"/>
  <c r="BG103" i="6"/>
  <c r="CE103" i="6"/>
  <c r="W103" i="6"/>
  <c r="BU103" i="6"/>
  <c r="CG103" i="6"/>
  <c r="Y103" i="6"/>
  <c r="Y14" i="6"/>
  <c r="BI103" i="6"/>
  <c r="AW103" i="6"/>
  <c r="AK103" i="6"/>
  <c r="Z144" i="6" a="1"/>
  <c r="Z144" i="6" s="1"/>
  <c r="AL103" i="6"/>
  <c r="Z103" i="6"/>
  <c r="Z14" i="6"/>
  <c r="CH103" i="6"/>
  <c r="BJ103" i="6"/>
  <c r="BV103" i="6"/>
  <c r="AX103" i="6"/>
  <c r="X103" i="6"/>
  <c r="BT103" i="6"/>
  <c r="X14" i="6"/>
  <c r="AV103" i="6"/>
  <c r="X144" i="6" a="1"/>
  <c r="X144" i="6" s="1"/>
  <c r="AJ103" i="6"/>
  <c r="CF103" i="6"/>
  <c r="BH103" i="6"/>
  <c r="V62" i="6"/>
  <c r="Y62" i="6"/>
  <c r="W62" i="6"/>
  <c r="X62" i="6"/>
  <c r="Z62" i="6"/>
  <c r="D20" i="6"/>
  <c r="L16" i="6"/>
  <c r="L20" i="6" s="1"/>
  <c r="O16" i="6"/>
  <c r="O19" i="6" s="1"/>
  <c r="E19" i="6"/>
  <c r="S23" i="6"/>
  <c r="S26" i="6" s="1"/>
  <c r="S20" i="6"/>
  <c r="M20" i="6"/>
  <c r="O4" i="11" a="1"/>
  <c r="O4" i="11" s="1"/>
  <c r="C23" i="6"/>
  <c r="I23" i="6" s="1"/>
  <c r="I26" i="6" s="1"/>
  <c r="C115" i="6"/>
  <c r="C116" i="6" s="1"/>
  <c r="C117" i="6" s="1"/>
  <c r="C20" i="6"/>
  <c r="C19" i="6"/>
  <c r="C21" i="6"/>
  <c r="P16" i="6"/>
  <c r="P20" i="6" s="1"/>
  <c r="J16" i="6"/>
  <c r="J20" i="6" s="1"/>
  <c r="D19" i="6"/>
  <c r="D23" i="6"/>
  <c r="J23" i="6" s="1"/>
  <c r="J26" i="6" s="1"/>
  <c r="D21" i="6"/>
  <c r="Q16" i="6"/>
  <c r="Q19" i="6" s="1"/>
  <c r="E20" i="6"/>
  <c r="E23" i="6"/>
  <c r="Q23" i="6" s="1"/>
  <c r="Q26" i="6" s="1"/>
  <c r="K16" i="6"/>
  <c r="K20" i="6" s="1"/>
  <c r="E21" i="6"/>
  <c r="F23" i="6"/>
  <c r="R23" i="6" s="1"/>
  <c r="R26" i="6" s="1"/>
  <c r="F19" i="6"/>
  <c r="F21" i="6"/>
  <c r="R16" i="6"/>
  <c r="R20" i="6" s="1"/>
  <c r="F20" i="6"/>
  <c r="I16" i="6"/>
  <c r="I20" i="6" s="1"/>
  <c r="Z101" i="6" l="1" a="1"/>
  <c r="Z101" i="6" s="1"/>
  <c r="Y101" i="6" a="1"/>
  <c r="Y101" i="6" s="1"/>
  <c r="X101" i="6" a="1"/>
  <c r="X101" i="6" s="1"/>
  <c r="V101" i="6" a="1"/>
  <c r="V101" i="6" s="1"/>
  <c r="W101" i="6" a="1"/>
  <c r="W101" i="6" s="1"/>
  <c r="V184" i="6" a="1"/>
  <c r="V184" i="6" s="1"/>
  <c r="W184" i="6" a="1"/>
  <c r="W184" i="6" s="1"/>
  <c r="X184" i="6" a="1"/>
  <c r="X184" i="6" s="1"/>
  <c r="Z184" i="6" a="1"/>
  <c r="Z184" i="6" s="1"/>
  <c r="Y184" i="6" a="1"/>
  <c r="Y184" i="6" s="1"/>
  <c r="W144" i="6" a="1"/>
  <c r="W144" i="6" s="1"/>
  <c r="W141" i="6" s="1"/>
  <c r="W6" i="6" s="1" a="1"/>
  <c r="W6" i="6" s="1"/>
  <c r="D5" i="6" s="1"/>
  <c r="B2" i="17" s="1"/>
  <c r="X141" i="6"/>
  <c r="X6" i="6" s="1" a="1"/>
  <c r="X6" i="6" s="1"/>
  <c r="Z141" i="6"/>
  <c r="Z6" i="6" s="1" a="1"/>
  <c r="Z6" i="6" s="1"/>
  <c r="G5" i="6" s="1"/>
  <c r="V141" i="6"/>
  <c r="V6" i="6" s="1" a="1"/>
  <c r="V6" i="6" s="1"/>
  <c r="C5" i="6" s="1"/>
  <c r="I19" i="16" s="1"/>
  <c r="Y141" i="6"/>
  <c r="Y6" i="6" s="1" a="1"/>
  <c r="Y6" i="6" s="1"/>
  <c r="F5" i="6" s="1"/>
  <c r="D2" i="17" s="1"/>
  <c r="E5" i="6"/>
  <c r="L19" i="6"/>
  <c r="L36" i="11"/>
  <c r="O20" i="6"/>
  <c r="L23" i="6"/>
  <c r="L26" i="6" s="1"/>
  <c r="K19" i="6"/>
  <c r="O23" i="6"/>
  <c r="O26" i="6" s="1"/>
  <c r="P19" i="6"/>
  <c r="Q20" i="6"/>
  <c r="P23" i="6"/>
  <c r="P26" i="6" s="1"/>
  <c r="J19" i="6"/>
  <c r="K23" i="6"/>
  <c r="K26" i="6" s="1"/>
  <c r="R19" i="6"/>
  <c r="I19" i="6"/>
  <c r="A2" i="17" l="1"/>
  <c r="C2" i="17"/>
  <c r="O19" i="16"/>
  <c r="E2" i="17"/>
  <c r="U19" i="16"/>
  <c r="L19" i="16"/>
  <c r="R19" i="16"/>
  <c r="O5" i="11" a="1"/>
  <c r="O5" i="11" s="1"/>
  <c r="O8" i="11" s="1"/>
  <c r="O7" i="11" l="1"/>
  <c r="K2" i="11" l="1" a="1"/>
  <c r="K3" i="11" l="1"/>
  <c r="L3" i="11" s="1"/>
  <c r="K20" i="11"/>
  <c r="L20" i="11" s="1"/>
  <c r="K46" i="11"/>
  <c r="K8" i="11"/>
  <c r="L8" i="11" s="1"/>
  <c r="K26" i="11"/>
  <c r="L26" i="11" s="1"/>
  <c r="K43" i="11"/>
  <c r="K38" i="11"/>
  <c r="K31" i="11"/>
  <c r="L31" i="11" s="1"/>
  <c r="K14" i="11"/>
  <c r="L14" i="11" s="1"/>
  <c r="K19" i="11"/>
  <c r="L19" i="11" s="1"/>
  <c r="K37" i="11"/>
  <c r="K7" i="11"/>
  <c r="L7" i="11" s="1"/>
  <c r="K13" i="11"/>
  <c r="L13" i="11" s="1"/>
  <c r="K42" i="11"/>
  <c r="K36" i="11"/>
  <c r="K30" i="11"/>
  <c r="L30" i="11" s="1"/>
  <c r="K45" i="11"/>
  <c r="K18" i="11"/>
  <c r="L18" i="11" s="1"/>
  <c r="K12" i="11"/>
  <c r="L12" i="11" s="1"/>
  <c r="K6" i="11"/>
  <c r="L6" i="11" s="1"/>
  <c r="K25" i="11"/>
  <c r="L25" i="11" s="1"/>
  <c r="K41" i="11"/>
  <c r="K35" i="11"/>
  <c r="L35" i="11" s="1"/>
  <c r="K29" i="11"/>
  <c r="L29" i="11" s="1"/>
  <c r="K24" i="11"/>
  <c r="L24" i="11" s="1"/>
  <c r="K17" i="11"/>
  <c r="L17" i="11" s="1"/>
  <c r="K11" i="11"/>
  <c r="L11" i="11" s="1"/>
  <c r="K5" i="11"/>
  <c r="L5" i="11" s="1"/>
  <c r="K23" i="11"/>
  <c r="L23" i="11" s="1"/>
  <c r="K40" i="11"/>
  <c r="K34" i="11"/>
  <c r="L34" i="11" s="1"/>
  <c r="K28" i="11"/>
  <c r="L28" i="11" s="1"/>
  <c r="K22" i="11"/>
  <c r="L22" i="11" s="1"/>
  <c r="K16" i="11"/>
  <c r="L16" i="11" s="1"/>
  <c r="K10" i="11"/>
  <c r="L10" i="11" s="1"/>
  <c r="K4" i="11"/>
  <c r="L4" i="11" s="1"/>
  <c r="K21" i="11"/>
  <c r="L21" i="11" s="1"/>
  <c r="K39" i="11"/>
  <c r="K33" i="11"/>
  <c r="L33" i="11" s="1"/>
  <c r="K27" i="11"/>
  <c r="L27" i="11" s="1"/>
  <c r="K2" i="11"/>
  <c r="K15" i="11"/>
  <c r="L15" i="11" s="1"/>
  <c r="K9" i="11"/>
  <c r="L9" i="11" s="1"/>
  <c r="K44" i="11"/>
  <c r="K32" i="11"/>
  <c r="L32" i="11" s="1"/>
  <c r="L41" i="11"/>
  <c r="L43" i="11"/>
  <c r="L40" i="11"/>
  <c r="L46" i="11"/>
  <c r="L37" i="11"/>
  <c r="L39" i="11"/>
  <c r="L38" i="11"/>
  <c r="L44" i="11"/>
  <c r="L42" i="11"/>
  <c r="L45" i="11"/>
  <c r="L2" i="11" l="1"/>
  <c r="M2" i="11" l="1" a="1"/>
  <c r="M16" i="11" s="1"/>
  <c r="M40" i="11" l="1"/>
  <c r="M32" i="11"/>
  <c r="M6" i="11"/>
  <c r="M20" i="11"/>
  <c r="M34" i="11"/>
  <c r="M21" i="11"/>
  <c r="M17" i="11"/>
  <c r="M33" i="11"/>
  <c r="M27" i="11"/>
  <c r="M22" i="11"/>
  <c r="M44" i="11"/>
  <c r="M42" i="11"/>
  <c r="M5" i="11"/>
  <c r="M41" i="11"/>
  <c r="M10" i="11"/>
  <c r="M18" i="11"/>
  <c r="M25" i="11"/>
  <c r="M24" i="11"/>
  <c r="M36" i="11"/>
  <c r="M26" i="11"/>
  <c r="M37" i="11"/>
  <c r="M7" i="11"/>
  <c r="M46" i="11"/>
  <c r="M15" i="11"/>
  <c r="M13" i="11"/>
  <c r="M12" i="11"/>
  <c r="M35" i="11"/>
  <c r="M45" i="11"/>
  <c r="M4" i="11"/>
  <c r="M8" i="11"/>
  <c r="M29" i="11"/>
  <c r="M43" i="11"/>
  <c r="M38" i="11"/>
  <c r="M9" i="11"/>
  <c r="M39" i="11"/>
  <c r="M28" i="11"/>
  <c r="M23" i="11"/>
  <c r="M2" i="11"/>
  <c r="M3" i="11"/>
  <c r="M11" i="11"/>
  <c r="M14" i="11"/>
  <c r="M19" i="11"/>
  <c r="M31" i="11"/>
  <c r="M3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<sst xmlns="http://schemas.openxmlformats.org/spreadsheetml/2006/main" count="406" uniqueCount="217">
  <si>
    <t>Item</t>
  </si>
  <si>
    <t>Nøgle</t>
  </si>
  <si>
    <t>Subskala</t>
  </si>
  <si>
    <t>Testresultat</t>
  </si>
  <si>
    <t>Mental Fatigue</t>
  </si>
  <si>
    <t>Mænd</t>
  </si>
  <si>
    <t>Kvinder</t>
  </si>
  <si>
    <t>Mental</t>
  </si>
  <si>
    <t>Percentil</t>
  </si>
  <si>
    <t>N</t>
  </si>
  <si>
    <t>SD</t>
  </si>
  <si>
    <t>Physical Fatigue</t>
  </si>
  <si>
    <t>Physical</t>
  </si>
  <si>
    <t>Køn</t>
  </si>
  <si>
    <t>Med korrektion for køn</t>
  </si>
  <si>
    <t>Observeret score</t>
  </si>
  <si>
    <t>Konstant</t>
  </si>
  <si>
    <t>Forventet score</t>
  </si>
  <si>
    <t>Percentilværdi</t>
  </si>
  <si>
    <t>Opslagstabel for SD</t>
  </si>
  <si>
    <t>Forventet score (mean)</t>
  </si>
  <si>
    <t>Afvigelse i SD</t>
  </si>
  <si>
    <t>Observeret - forventet</t>
  </si>
  <si>
    <t>Anvendt SD</t>
  </si>
  <si>
    <t>Korrektion for køn?</t>
  </si>
  <si>
    <t>Lineær model</t>
  </si>
  <si>
    <t>Vægt køn (mand)</t>
  </si>
  <si>
    <t>Konfidensintervaller for percentilværdier</t>
  </si>
  <si>
    <t>Anvendt N til CI</t>
  </si>
  <si>
    <t>c1</t>
  </si>
  <si>
    <t>c1sqrtN</t>
  </si>
  <si>
    <t>Delta</t>
  </si>
  <si>
    <t>Nedre percentil</t>
  </si>
  <si>
    <t>Øvre percentil</t>
  </si>
  <si>
    <t>https://real-statistics.com/students-t-distribution/noncentral-t-distribution/</t>
  </si>
  <si>
    <t>https://real-statistics.com/free-download/real-statistics-resource-pack/</t>
  </si>
  <si>
    <t>Kommentar</t>
  </si>
  <si>
    <t>Skew value</t>
  </si>
  <si>
    <t>Skew se</t>
  </si>
  <si>
    <t>Skew Z-value</t>
  </si>
  <si>
    <t>Ja</t>
  </si>
  <si>
    <t>Shapiro-Wilk</t>
  </si>
  <si>
    <t>W</t>
  </si>
  <si>
    <t>p</t>
  </si>
  <si>
    <t>Nej</t>
  </si>
  <si>
    <t>Type</t>
  </si>
  <si>
    <t>Kvrod</t>
  </si>
  <si>
    <t>ORIGINAL</t>
  </si>
  <si>
    <t>Kvadratrodstransformation</t>
  </si>
  <si>
    <t>Original distribution</t>
  </si>
  <si>
    <t>Min obs score</t>
  </si>
  <si>
    <t>Max obs score</t>
  </si>
  <si>
    <t>Skala</t>
  </si>
  <si>
    <t>Transformation?</t>
  </si>
  <si>
    <t>Score</t>
  </si>
  <si>
    <t>Spejlvendt observeret score</t>
  </si>
  <si>
    <t>Spejlvendt forventet score</t>
  </si>
  <si>
    <t>Spejlvendt percentilværdi</t>
  </si>
  <si>
    <t>SD af spejlvendte scores</t>
  </si>
  <si>
    <t>Opslagstabel for SD af spejlvendte scores</t>
  </si>
  <si>
    <t>SD for det valgte køn</t>
  </si>
  <si>
    <t>SD af spejlvendte scores for det valgte køn</t>
  </si>
  <si>
    <t>Anvendt SD af spejlvendte scores</t>
  </si>
  <si>
    <t>ET SIDESPRING</t>
  </si>
  <si>
    <t>Observeret</t>
  </si>
  <si>
    <t>Master</t>
  </si>
  <si>
    <t>Vælg:</t>
  </si>
  <si>
    <t>=INDEKS(A2:A52;SAMMENLIGN(N1;A2:A52;0)):INDEKS(A2:A52;SAMMENLIGN(N2;A2:A52;0))</t>
  </si>
  <si>
    <t>Score range</t>
  </si>
  <si>
    <t>=INDEKS(B2:F52;SAMMENLIGN(N1;A2:A52;0);SAMMENLIGN(J1;B1:F1;0)):INDEKS(B2:F52;SAMMENLIGN(N2;A2:A52;0);SAMMENLIGN(J1;B1:F1;0))</t>
  </si>
  <si>
    <t>Fra:</t>
  </si>
  <si>
    <t>Til:</t>
  </si>
  <si>
    <t>Highligt</t>
  </si>
  <si>
    <t>K Formel</t>
  </si>
  <si>
    <t>=HVIS(ER.TOM(I2);"";HVIS(I2&lt;=$S$1;J2;""))</t>
  </si>
  <si>
    <t>L Formel</t>
  </si>
  <si>
    <t>=FORSKYDNING($K$1;1;0;TÆL($K2:$K46);1)</t>
  </si>
  <si>
    <t>Overskrift</t>
  </si>
  <si>
    <t>Retning</t>
  </si>
  <si>
    <t>log10</t>
  </si>
  <si>
    <t>Positiv</t>
  </si>
  <si>
    <t>Negativ</t>
  </si>
  <si>
    <t>Manuelt indtastet data</t>
  </si>
  <si>
    <t>J Formel</t>
  </si>
  <si>
    <t>Forklaring</t>
  </si>
  <si>
    <t>Forklaring 2</t>
  </si>
  <si>
    <t>Mand</t>
  </si>
  <si>
    <t>Kvinde</t>
  </si>
  <si>
    <t>Senest opdateret</t>
  </si>
  <si>
    <t>1) Scoringsværktøj</t>
  </si>
  <si>
    <t>3) Datagrundlag</t>
  </si>
  <si>
    <t>Scoringsprogram</t>
  </si>
  <si>
    <t>2) Referencedata</t>
  </si>
  <si>
    <t>www.vnr.dk</t>
  </si>
  <si>
    <t>Udfyld</t>
  </si>
  <si>
    <t xml:space="preserve"> </t>
  </si>
  <si>
    <t>Indtast svarene i kolonnen "Udfyld". Svarene omregnes automatisk til råscorer for hver subskala.</t>
  </si>
  <si>
    <t>Tilbage til forsiden</t>
  </si>
  <si>
    <t>Master tabeller</t>
  </si>
  <si>
    <t>Flettede felter</t>
  </si>
  <si>
    <t>Vælg subskala
fra listen</t>
  </si>
  <si>
    <t>Vælg køn fra listen</t>
  </si>
  <si>
    <t>Indhold</t>
  </si>
  <si>
    <t>Gå til</t>
  </si>
  <si>
    <t>Andet/Ikke oplyst</t>
  </si>
  <si>
    <t>Testresultater</t>
  </si>
  <si>
    <t>Indtast råscore selv</t>
  </si>
  <si>
    <t>Navn på skala</t>
  </si>
  <si>
    <t>Forkortelse</t>
  </si>
  <si>
    <t>Copyright</t>
  </si>
  <si>
    <t>MULTIDIMENSIONAL FATIGUE INVENTORY</t>
  </si>
  <si>
    <t>(MFI-20)</t>
  </si>
  <si>
    <t>General Fatigue</t>
  </si>
  <si>
    <t>Reduced Motivation</t>
  </si>
  <si>
    <t>Reduced Activity</t>
  </si>
  <si>
    <t>General</t>
  </si>
  <si>
    <t>Activity</t>
  </si>
  <si>
    <t>Motivation</t>
  </si>
  <si>
    <t>Pos. skew</t>
  </si>
  <si>
    <t>KVADRATRODSTRANSFORMATION</t>
  </si>
  <si>
    <t>LOGARITMISK TRANSFORMATION</t>
  </si>
  <si>
    <t>Floor %</t>
  </si>
  <si>
    <t>Ceiling %</t>
  </si>
  <si>
    <t>Skewness</t>
  </si>
  <si>
    <t>0 til 0.5</t>
  </si>
  <si>
    <t>0.5 til 1</t>
  </si>
  <si>
    <t>over 1</t>
  </si>
  <si>
    <t>Fordelingen af data er nærmest symmetrisk</t>
  </si>
  <si>
    <t>Fordelingen af data er meget asymmetrisk</t>
  </si>
  <si>
    <t>Hvis negativ skal data spejlvendes</t>
  </si>
  <si>
    <t>Log10 transformation</t>
  </si>
  <si>
    <t>Spejlvendte scores anvendes ved negativ skewness</t>
  </si>
  <si>
    <t>Percentilværdien vendes om hvis spejlvendt</t>
  </si>
  <si>
    <t>Fordelingen af data er asymmetrisk</t>
  </si>
  <si>
    <t>RETVENDTE SCORES</t>
  </si>
  <si>
    <t>SPEJLVENDTE SCORES</t>
  </si>
  <si>
    <t>Forventet spejlvendt score (mean)</t>
  </si>
  <si>
    <t>Lineær model for spejlvendte scores</t>
  </si>
  <si>
    <t>Forventet spejlvendt score</t>
  </si>
  <si>
    <t>Fra</t>
  </si>
  <si>
    <t>Til</t>
  </si>
  <si>
    <t>M Formel</t>
  </si>
  <si>
    <t>Middelværdi (justeret)</t>
  </si>
  <si>
    <t>Uden korrektion</t>
  </si>
  <si>
    <t>Med korrektion for alder</t>
  </si>
  <si>
    <t>Med korrektion for alder og køn</t>
  </si>
  <si>
    <t>Spejlvendte scores</t>
  </si>
  <si>
    <t>Vægt alder</t>
  </si>
  <si>
    <t>SD for den valgte aldersgruppe</t>
  </si>
  <si>
    <t>20-29</t>
  </si>
  <si>
    <t>30-39</t>
  </si>
  <si>
    <t>40-49</t>
  </si>
  <si>
    <t>50-59</t>
  </si>
  <si>
    <t>60-69</t>
  </si>
  <si>
    <t>70-79</t>
  </si>
  <si>
    <t>Alder</t>
  </si>
  <si>
    <t>Aldersgruppe</t>
  </si>
  <si>
    <t>20-29 kvinder</t>
  </si>
  <si>
    <t>30-39 mænd</t>
  </si>
  <si>
    <t>40-49 kvinder</t>
  </si>
  <si>
    <t>30-39 kvinder</t>
  </si>
  <si>
    <t>50-59 kvinder</t>
  </si>
  <si>
    <t>60-69 kvinder</t>
  </si>
  <si>
    <t>70-79 kvinder</t>
  </si>
  <si>
    <t>20-29 mænd</t>
  </si>
  <si>
    <t>40-49 mænd</t>
  </si>
  <si>
    <t>50-59 mænd</t>
  </si>
  <si>
    <t>60-69 mænd</t>
  </si>
  <si>
    <t>70-79 mænd</t>
  </si>
  <si>
    <t>Korrektion for alder?</t>
  </si>
  <si>
    <t>Alder (mindst 20 år, højst 79 år)</t>
  </si>
  <si>
    <t>Indtast alder i tal</t>
  </si>
  <si>
    <t>Model nr.</t>
  </si>
  <si>
    <t>Model navn</t>
  </si>
  <si>
    <t>SD for det valgte køn og aldersgruppe</t>
  </si>
  <si>
    <t>Kode</t>
  </si>
  <si>
    <t>Værdi</t>
  </si>
  <si>
    <t>Vægt køn</t>
  </si>
  <si>
    <t>Udviklet af Videnscenter for Neurorehabilitering —</t>
  </si>
  <si>
    <t>Versionsnummer</t>
  </si>
  <si>
    <t>Forfatter</t>
  </si>
  <si>
    <t>Frederik L. Dornonville de la Cour, PhD</t>
  </si>
  <si>
    <t>Næste ark</t>
  </si>
  <si>
    <t>Indtast oplysninger om testpersonen</t>
  </si>
  <si>
    <t>Programmet henter automatisk råscores fra scoringsværktøjet. Du kan også selv indtaste resultaterne.</t>
  </si>
  <si>
    <t>Testpersonens råscore</t>
  </si>
  <si>
    <t>Smooth</t>
  </si>
  <si>
    <t>Items</t>
  </si>
  <si>
    <t>KONVERSION</t>
  </si>
  <si>
    <t>Sumscore</t>
  </si>
  <si>
    <t>Kolonne</t>
  </si>
  <si>
    <t>KVINDER</t>
  </si>
  <si>
    <t>MÆND</t>
  </si>
  <si>
    <t>KURVEDATA</t>
  </si>
  <si>
    <t>2.0</t>
  </si>
  <si>
    <t>September 2024</t>
  </si>
  <si>
    <t>20'erne</t>
  </si>
  <si>
    <t>30'erne</t>
  </si>
  <si>
    <t>40'erne</t>
  </si>
  <si>
    <t>70'erne</t>
  </si>
  <si>
    <t>60'erne</t>
  </si>
  <si>
    <t>50'erne</t>
  </si>
  <si>
    <t>Med korrektion for køn og alder</t>
  </si>
  <si>
    <t>Aldersgruppe 3</t>
  </si>
  <si>
    <t>Aldersgruppe 4</t>
  </si>
  <si>
    <t>Aldersgruppe 5</t>
  </si>
  <si>
    <t>Model</t>
  </si>
  <si>
    <t>Kvinde =</t>
  </si>
  <si>
    <t>Mand =</t>
  </si>
  <si>
    <t>KURVEDATA MODEL 1: KØN OG ALDER</t>
  </si>
  <si>
    <t>KURVEDATA MODEL 3: KUN ALDER</t>
  </si>
  <si>
    <t>KURVEDATA MODEL 2: KUN KØN</t>
  </si>
  <si>
    <t>KURVEDATA MODEL 0: INGEN KORREKTION</t>
  </si>
  <si>
    <t>KURVEDATA OVERFØRT TIL GRAFIK</t>
  </si>
  <si>
    <t>Sum</t>
  </si>
  <si>
    <t>40'ern</t>
  </si>
  <si>
    <t>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</si>
</sst>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00"/>
    <numFmt numFmtId="167" formatCode="0.0000000"/>
  </numFmts>
  <fonts count="20" x14ac:knownFonts="1">
    <font>
      <sz val="10"/>
      <name val="Arial"/>
    </font>
    <font>
      <sz val="10"/>
      <name val="Arial"/>
      <family val="2"/>
    </font>
    <font>
      <sz val="12"/>
      <name val="Mari"/>
      <family val="2"/>
    </font>
    <font>
      <sz val="10"/>
      <name val="Mari"/>
      <family val="2"/>
    </font>
    <font>
      <i/>
      <sz val="10"/>
      <name val="Mari"/>
      <family val="2"/>
    </font>
    <font>
      <sz val="10"/>
      <name val="Mari Book"/>
      <family val="2"/>
    </font>
    <font>
      <i/>
      <sz val="10"/>
      <name val="Mari Book"/>
      <family val="2"/>
    </font>
    <font>
      <sz val="14"/>
      <name val="Mari Poster"/>
      <family val="2"/>
    </font>
    <font>
      <b/>
      <sz val="10"/>
      <name val="Arial"/>
      <family val="2"/>
    </font>
    <font>
      <sz val="11"/>
      <name val="Mari"/>
      <family val="2"/>
    </font>
    <font>
      <sz val="10"/>
      <color theme="0"/>
      <name val="Mari Book"/>
      <family val="2"/>
    </font>
    <font>
      <sz val="10"/>
      <color theme="1"/>
      <name val="Mari Book"/>
      <family val="2"/>
    </font>
    <font>
      <sz val="11"/>
      <color rgb="FF000000"/>
      <name val="Mari Light"/>
      <family val="2"/>
    </font>
    <font>
      <sz val="11"/>
      <name val="Mari Light"/>
      <family val="2"/>
    </font>
    <font>
      <u/>
      <sz val="10"/>
      <color rgb="FF009CE8"/>
      <name val="Mari Light"/>
      <family val="2"/>
    </font>
    <font>
      <sz val="10"/>
      <color rgb="FF009CE8"/>
      <name val="Mari Light"/>
      <family val="2"/>
    </font>
    <font>
      <sz val="14"/>
      <name val="Mari"/>
      <family val="2"/>
    </font>
    <font>
      <sz val="10"/>
      <color theme="1"/>
      <name val="Mari Light"/>
      <family val="2"/>
    </font>
    <font>
      <i/>
      <sz val="11"/>
      <color rgb="FF7F7F7F"/>
      <name val="Calibri"/>
      <family val="2"/>
      <scheme val="minor"/>
    </font>
    <font>
      <sz val="10"/>
      <name val="Mari Light"/>
      <family val="2"/>
    </font>
  </fonts>
  <fills count="10">
    <fill>
      <patternFill patternType="none"/>
    </fill>
    <fill>
      <patternFill patternType="gray125"/>
    </fill>
    <fill>
      <patternFill patternType="solid">
        <fgColor theme="8" tint="0.749992370372631"/>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8"/>
        <bgColor indexed="64"/>
      </patternFill>
    </fill>
    <fill>
      <patternFill patternType="solid">
        <fgColor theme="2"/>
        <bgColor indexed="64"/>
      </patternFill>
    </fill>
    <fill>
      <patternFill patternType="solid">
        <fgColor theme="8" tint="0.89999084444715716"/>
        <bgColor indexed="64"/>
      </patternFill>
    </fill>
    <fill>
      <patternFill patternType="solid">
        <fgColor rgb="FF656565"/>
        <bgColor indexed="64"/>
      </patternFill>
    </fill>
  </fills>
  <borders count="2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B8B8B8"/>
      </top>
      <bottom/>
      <diagonal/>
    </border>
    <border>
      <left/>
      <right/>
      <top style="thin">
        <color rgb="FFB8B8B8"/>
      </top>
      <bottom style="thin">
        <color rgb="FFB8B8B8"/>
      </bottom>
      <diagonal/>
    </border>
    <border>
      <left style="thin">
        <color indexed="64"/>
      </left>
      <right/>
      <top style="thin">
        <color rgb="FFB8B8B8"/>
      </top>
      <bottom/>
      <diagonal/>
    </border>
    <border>
      <left/>
      <right style="thin">
        <color indexed="64"/>
      </right>
      <top style="thin">
        <color rgb="FFB8B8B8"/>
      </top>
      <bottom style="thin">
        <color rgb="FFB8B8B8"/>
      </bottom>
      <diagonal/>
    </border>
    <border>
      <left style="thin">
        <color indexed="64"/>
      </left>
      <right/>
      <top style="thin">
        <color rgb="FFB8B8B8"/>
      </top>
      <bottom style="thin">
        <color indexed="64"/>
      </bottom>
      <diagonal/>
    </border>
    <border>
      <left/>
      <right/>
      <top style="thin">
        <color rgb="FFB8B8B8"/>
      </top>
      <bottom style="thin">
        <color indexed="64"/>
      </bottom>
      <diagonal/>
    </border>
    <border>
      <left/>
      <right style="thin">
        <color indexed="64"/>
      </right>
      <top style="thin">
        <color rgb="FFB8B8B8"/>
      </top>
      <bottom style="thin">
        <color indexed="64"/>
      </bottom>
      <diagonal/>
    </border>
    <border>
      <left style="thin">
        <color indexed="64"/>
      </left>
      <right style="thin">
        <color indexed="64"/>
      </right>
      <top/>
      <bottom/>
      <diagonal/>
    </border>
    <border>
      <left/>
      <right/>
      <top/>
      <bottom style="thin">
        <color rgb="FFB8B8B8"/>
      </bottom>
      <diagonal/>
    </border>
    <border>
      <left style="thin">
        <color rgb="FFB8B8B8"/>
      </left>
      <right/>
      <top style="thin">
        <color rgb="FFB8B8B8"/>
      </top>
      <bottom/>
      <diagonal/>
    </border>
    <border>
      <left/>
      <right style="thin">
        <color rgb="FFB8B8B8"/>
      </right>
      <top style="thin">
        <color rgb="FFB8B8B8"/>
      </top>
      <bottom/>
      <diagonal/>
    </border>
    <border>
      <left style="thin">
        <color rgb="FFB8B8B8"/>
      </left>
      <right/>
      <top/>
      <bottom/>
      <diagonal/>
    </border>
    <border>
      <left/>
      <right style="thin">
        <color rgb="FFB8B8B8"/>
      </right>
      <top/>
      <bottom/>
      <diagonal/>
    </border>
    <border>
      <left style="thin">
        <color rgb="FFB8B8B8"/>
      </left>
      <right/>
      <top/>
      <bottom style="thin">
        <color rgb="FFB8B8B8"/>
      </bottom>
      <diagonal/>
    </border>
    <border>
      <left/>
      <right style="thin">
        <color rgb="FFB8B8B8"/>
      </right>
      <top/>
      <bottom style="thin">
        <color rgb="FFB8B8B8"/>
      </bottom>
      <diagonal/>
    </border>
  </borders>
  <cellStyleXfs count="3">
    <xf numFmtId="0" fontId="0"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258">
    <xf numFmtId="0" fontId="0" fillId="0" borderId="0" xfId="0"/>
    <xf numFmtId="0" fontId="2" fillId="0" borderId="0" xfId="0" applyFont="1"/>
    <xf numFmtId="0" fontId="3" fillId="0" borderId="0" xfId="0" applyFont="1"/>
    <xf numFmtId="0" fontId="3" fillId="0" borderId="0" xfId="0" applyFont="1" applyFill="1"/>
    <xf numFmtId="0" fontId="1" fillId="0" borderId="0" xfId="0" applyFont="1"/>
    <xf numFmtId="0" fontId="4" fillId="0" borderId="0" xfId="0" applyFont="1" applyBorder="1" applyAlignment="1">
      <alignment horizontal="left"/>
    </xf>
    <xf numFmtId="164" fontId="3" fillId="0" borderId="0" xfId="0" applyNumberFormat="1" applyFont="1" applyBorder="1" applyAlignment="1">
      <alignment horizontal="center"/>
    </xf>
    <xf numFmtId="0" fontId="0" fillId="0" borderId="0" xfId="0" quotePrefix="1"/>
    <xf numFmtId="1" fontId="0" fillId="0" borderId="0" xfId="0" applyNumberFormat="1"/>
    <xf numFmtId="2" fontId="0" fillId="0" borderId="0" xfId="0" applyNumberFormat="1"/>
    <xf numFmtId="164" fontId="0" fillId="0" borderId="0" xfId="0" applyNumberFormat="1"/>
    <xf numFmtId="0" fontId="8" fillId="2" borderId="0" xfId="0" applyFont="1" applyFill="1"/>
    <xf numFmtId="0" fontId="0" fillId="2" borderId="0" xfId="0" applyFill="1"/>
    <xf numFmtId="0" fontId="0" fillId="2" borderId="0" xfId="0" applyFill="1" applyAlignment="1">
      <alignment horizontal="center"/>
    </xf>
    <xf numFmtId="0" fontId="1" fillId="2" borderId="0" xfId="0" applyFont="1" applyFill="1" applyAlignment="1">
      <alignment horizontal="center"/>
    </xf>
    <xf numFmtId="0" fontId="1" fillId="0" borderId="0" xfId="0" applyFont="1" applyFill="1" applyAlignment="1">
      <alignment horizontal="center"/>
    </xf>
    <xf numFmtId="0" fontId="0" fillId="0" borderId="0" xfId="0" applyAlignment="1">
      <alignment horizontal="center"/>
    </xf>
    <xf numFmtId="165" fontId="0" fillId="0" borderId="0" xfId="0" applyNumberFormat="1" applyAlignment="1">
      <alignment horizontal="center"/>
    </xf>
    <xf numFmtId="2" fontId="1" fillId="0" borderId="0" xfId="0" applyNumberFormat="1" applyFont="1" applyFill="1" applyAlignment="1">
      <alignment horizontal="center"/>
    </xf>
    <xf numFmtId="2" fontId="0" fillId="0" borderId="0" xfId="0" applyNumberFormat="1" applyAlignment="1">
      <alignment horizontal="center"/>
    </xf>
    <xf numFmtId="0" fontId="8" fillId="0" borderId="0" xfId="0" applyFont="1"/>
    <xf numFmtId="164" fontId="1" fillId="0" borderId="0" xfId="0" applyNumberFormat="1" applyFont="1" applyFill="1" applyAlignment="1">
      <alignment horizontal="center"/>
    </xf>
    <xf numFmtId="0" fontId="0" fillId="4" borderId="0" xfId="0" applyFill="1"/>
    <xf numFmtId="0" fontId="1" fillId="2" borderId="1" xfId="0" applyFont="1" applyFill="1" applyBorder="1" applyAlignment="1">
      <alignment horizontal="center"/>
    </xf>
    <xf numFmtId="0" fontId="1" fillId="2" borderId="0" xfId="0" applyFont="1" applyFill="1" applyBorder="1" applyAlignment="1">
      <alignment horizontal="center"/>
    </xf>
    <xf numFmtId="0" fontId="1" fillId="2" borderId="2" xfId="0" applyFont="1" applyFill="1" applyBorder="1" applyAlignment="1">
      <alignment horizontal="center"/>
    </xf>
    <xf numFmtId="164" fontId="0" fillId="0" borderId="1" xfId="0" applyNumberFormat="1" applyBorder="1"/>
    <xf numFmtId="164" fontId="0" fillId="0" borderId="0" xfId="0" applyNumberFormat="1" applyBorder="1"/>
    <xf numFmtId="164" fontId="0" fillId="0" borderId="2" xfId="0" applyNumberFormat="1" applyBorder="1"/>
    <xf numFmtId="0" fontId="0" fillId="0" borderId="1" xfId="0" applyBorder="1"/>
    <xf numFmtId="0" fontId="0" fillId="0" borderId="0" xfId="0" applyBorder="1"/>
    <xf numFmtId="0" fontId="0" fillId="0" borderId="2" xfId="0" applyBorder="1"/>
    <xf numFmtId="0" fontId="0" fillId="0" borderId="1" xfId="0" applyFill="1" applyBorder="1"/>
    <xf numFmtId="0" fontId="0" fillId="0" borderId="2" xfId="0" applyFill="1" applyBorder="1"/>
    <xf numFmtId="0" fontId="0" fillId="0" borderId="0" xfId="0" applyFill="1" applyBorder="1"/>
    <xf numFmtId="0" fontId="7" fillId="0" borderId="0" xfId="0" applyFont="1" applyFill="1" applyBorder="1" applyAlignment="1">
      <alignment horizontal="center" vertical="center"/>
    </xf>
    <xf numFmtId="0" fontId="0" fillId="0" borderId="0" xfId="0" applyAlignment="1">
      <alignment horizontal="left"/>
    </xf>
    <xf numFmtId="0" fontId="0" fillId="0" borderId="0" xfId="0" applyFill="1" applyAlignment="1">
      <alignment horizontal="center"/>
    </xf>
    <xf numFmtId="0" fontId="12" fillId="0" borderId="0" xfId="0" applyFont="1" applyAlignment="1">
      <alignment horizontal="left" vertical="center"/>
    </xf>
    <xf numFmtId="0" fontId="12" fillId="0" borderId="0" xfId="0" applyFont="1"/>
    <xf numFmtId="0" fontId="14" fillId="0" borderId="0" xfId="1" applyAlignment="1" applyProtection="1"/>
    <xf numFmtId="0" fontId="7" fillId="0" borderId="0" xfId="0" applyFont="1" applyFill="1" applyBorder="1" applyAlignment="1">
      <alignment vertical="center"/>
    </xf>
    <xf numFmtId="0" fontId="2" fillId="0" borderId="0" xfId="0" applyFont="1" applyAlignment="1"/>
    <xf numFmtId="0" fontId="11" fillId="0" borderId="0" xfId="0" applyFont="1" applyAlignment="1"/>
    <xf numFmtId="0" fontId="13" fillId="0" borderId="0" xfId="0" applyFont="1" applyBorder="1"/>
    <xf numFmtId="0" fontId="14" fillId="0" borderId="0" xfId="1" applyFont="1" applyBorder="1" applyAlignment="1" applyProtection="1"/>
    <xf numFmtId="0" fontId="2" fillId="0" borderId="1" xfId="0" applyFont="1" applyFill="1" applyBorder="1" applyAlignment="1"/>
    <xf numFmtId="1" fontId="5" fillId="0" borderId="1" xfId="0" applyNumberFormat="1" applyFont="1" applyFill="1" applyBorder="1" applyAlignment="1" applyProtection="1">
      <protection hidden="1"/>
    </xf>
    <xf numFmtId="0" fontId="5" fillId="0" borderId="1" xfId="0" applyFont="1" applyFill="1" applyBorder="1" applyAlignment="1" applyProtection="1">
      <protection hidden="1"/>
    </xf>
    <xf numFmtId="0" fontId="16" fillId="0" borderId="0" xfId="0" applyFont="1" applyAlignment="1">
      <alignment horizontal="center" vertical="center"/>
    </xf>
    <xf numFmtId="0" fontId="3" fillId="0" borderId="0" xfId="0" applyFont="1" applyFill="1" applyBorder="1" applyAlignment="1">
      <alignment vertical="center" wrapText="1"/>
    </xf>
    <xf numFmtId="0" fontId="3" fillId="0" borderId="0" xfId="0" applyFont="1" applyBorder="1" applyAlignment="1" applyProtection="1">
      <alignment vertical="center"/>
    </xf>
    <xf numFmtId="0" fontId="3" fillId="0" borderId="0" xfId="0" applyFont="1" applyProtection="1"/>
    <xf numFmtId="0" fontId="0" fillId="0" borderId="0" xfId="0" applyFill="1" applyAlignment="1">
      <alignment horizontal="left"/>
    </xf>
    <xf numFmtId="166" fontId="0" fillId="4" borderId="0" xfId="0" applyNumberFormat="1" applyFill="1"/>
    <xf numFmtId="0" fontId="0" fillId="0" borderId="20" xfId="0" applyBorder="1"/>
    <xf numFmtId="164" fontId="0" fillId="0" borderId="0" xfId="0" applyNumberFormat="1" applyFill="1" applyBorder="1"/>
    <xf numFmtId="164" fontId="0" fillId="0" borderId="1" xfId="0" applyNumberFormat="1" applyFill="1" applyBorder="1"/>
    <xf numFmtId="164" fontId="0" fillId="0" borderId="2" xfId="0" applyNumberFormat="1" applyFill="1" applyBorder="1"/>
    <xf numFmtId="164" fontId="0" fillId="0" borderId="4" xfId="0" applyNumberFormat="1" applyBorder="1"/>
    <xf numFmtId="164" fontId="0" fillId="0" borderId="3" xfId="0" applyNumberFormat="1" applyBorder="1"/>
    <xf numFmtId="0" fontId="8" fillId="0" borderId="0" xfId="0" applyFont="1" applyFill="1"/>
    <xf numFmtId="0" fontId="0" fillId="0" borderId="0" xfId="0" applyFill="1"/>
    <xf numFmtId="0" fontId="1" fillId="0" borderId="0" xfId="0" applyFont="1" applyFill="1" applyBorder="1"/>
    <xf numFmtId="0" fontId="8" fillId="0" borderId="0" xfId="0" applyFont="1" applyFill="1" applyBorder="1"/>
    <xf numFmtId="167" fontId="0" fillId="4" borderId="0" xfId="0" applyNumberFormat="1" applyFill="1"/>
    <xf numFmtId="1" fontId="0" fillId="0" borderId="1" xfId="0" applyNumberFormat="1" applyBorder="1"/>
    <xf numFmtId="1" fontId="0" fillId="0" borderId="0" xfId="0" applyNumberFormat="1" applyBorder="1"/>
    <xf numFmtId="1" fontId="0" fillId="0" borderId="2" xfId="0" applyNumberFormat="1" applyBorder="1"/>
    <xf numFmtId="1" fontId="5" fillId="0" borderId="0" xfId="0" applyNumberFormat="1" applyFont="1" applyFill="1" applyBorder="1" applyAlignment="1" applyProtection="1">
      <protection hidden="1"/>
    </xf>
    <xf numFmtId="0" fontId="5" fillId="0" borderId="0" xfId="0" applyFont="1" applyFill="1" applyBorder="1" applyAlignment="1" applyProtection="1">
      <protection hidden="1"/>
    </xf>
    <xf numFmtId="0" fontId="5" fillId="0" borderId="0" xfId="0" applyFont="1" applyFill="1" applyBorder="1" applyAlignment="1" applyProtection="1"/>
    <xf numFmtId="0" fontId="18" fillId="0" borderId="0" xfId="2"/>
    <xf numFmtId="0" fontId="18" fillId="0" borderId="0" xfId="2" applyFill="1" applyBorder="1"/>
    <xf numFmtId="0" fontId="0" fillId="0" borderId="7" xfId="0" applyBorder="1"/>
    <xf numFmtId="164" fontId="0" fillId="0" borderId="5" xfId="0" applyNumberFormat="1" applyBorder="1"/>
    <xf numFmtId="1" fontId="0" fillId="2" borderId="0" xfId="0" applyNumberFormat="1" applyFill="1"/>
    <xf numFmtId="1" fontId="0" fillId="2" borderId="0" xfId="0" applyNumberFormat="1" applyFill="1" applyAlignment="1">
      <alignment horizontal="right"/>
    </xf>
    <xf numFmtId="0" fontId="0" fillId="0" borderId="0" xfId="0" applyAlignment="1">
      <alignment horizontal="right"/>
    </xf>
    <xf numFmtId="2" fontId="0" fillId="0" borderId="1" xfId="0" applyNumberFormat="1" applyBorder="1"/>
    <xf numFmtId="2" fontId="0" fillId="0" borderId="0" xfId="0" applyNumberFormat="1" applyBorder="1"/>
    <xf numFmtId="0" fontId="17" fillId="0" borderId="0" xfId="0" applyFont="1" applyAlignment="1"/>
    <xf numFmtId="0" fontId="15" fillId="0" borderId="0" xfId="0" applyFont="1" applyAlignment="1"/>
    <xf numFmtId="0" fontId="19" fillId="0" borderId="0" xfId="0" applyFont="1"/>
    <xf numFmtId="49" fontId="19" fillId="0" borderId="0" xfId="0" applyNumberFormat="1" applyFont="1"/>
    <xf numFmtId="0" fontId="6" fillId="0" borderId="0" xfId="0" applyFont="1" applyFill="1" applyAlignment="1">
      <alignment vertical="top" wrapText="1"/>
    </xf>
    <xf numFmtId="1" fontId="0" fillId="0" borderId="0" xfId="0" applyNumberFormat="1" applyAlignment="1">
      <alignment horizontal="center"/>
    </xf>
    <xf numFmtId="0" fontId="1" fillId="0" borderId="7" xfId="0" applyFont="1" applyBorder="1" applyAlignment="1"/>
    <xf numFmtId="0" fontId="1" fillId="0" borderId="8" xfId="0" applyFont="1" applyBorder="1" applyAlignment="1"/>
    <xf numFmtId="2" fontId="1" fillId="0" borderId="0" xfId="0" applyNumberFormat="1" applyFont="1" applyBorder="1" applyAlignment="1"/>
    <xf numFmtId="0" fontId="1" fillId="2" borderId="0" xfId="0" applyFont="1" applyFill="1"/>
    <xf numFmtId="0" fontId="17" fillId="0" borderId="0" xfId="0" applyFont="1" applyAlignment="1">
      <alignment horizontal="left"/>
    </xf>
    <xf numFmtId="0" fontId="7" fillId="0" borderId="0" xfId="0" applyFont="1" applyFill="1" applyBorder="1" applyAlignment="1">
      <alignment horizontal="center" vertical="center"/>
    </xf>
    <xf numFmtId="0" fontId="9" fillId="7" borderId="9" xfId="0" applyFont="1" applyFill="1" applyBorder="1" applyAlignment="1">
      <alignment horizontal="left"/>
    </xf>
    <xf numFmtId="0" fontId="9" fillId="7" borderId="10" xfId="0" applyFont="1" applyFill="1" applyBorder="1" applyAlignment="1">
      <alignment horizontal="left"/>
    </xf>
    <xf numFmtId="0" fontId="9" fillId="7" borderId="11" xfId="0" applyFont="1" applyFill="1" applyBorder="1" applyAlignment="1">
      <alignment horizontal="left"/>
    </xf>
    <xf numFmtId="0" fontId="13" fillId="0" borderId="6" xfId="0" applyFont="1" applyBorder="1" applyAlignment="1"/>
    <xf numFmtId="0" fontId="13" fillId="0" borderId="7" xfId="0" applyFont="1" applyBorder="1" applyAlignment="1"/>
    <xf numFmtId="0" fontId="13" fillId="0" borderId="15" xfId="0" applyFont="1" applyBorder="1" applyAlignment="1"/>
    <xf numFmtId="0" fontId="13" fillId="0" borderId="13" xfId="0" applyFont="1" applyBorder="1" applyAlignment="1"/>
    <xf numFmtId="0" fontId="13" fillId="0" borderId="17" xfId="0" applyFont="1" applyBorder="1" applyAlignment="1"/>
    <xf numFmtId="0" fontId="13" fillId="0" borderId="18" xfId="0" applyFont="1" applyBorder="1" applyAlignment="1"/>
    <xf numFmtId="0" fontId="14" fillId="0" borderId="7" xfId="1" applyFont="1" applyBorder="1" applyAlignment="1" applyProtection="1">
      <protection locked="0"/>
    </xf>
    <xf numFmtId="0" fontId="14" fillId="0" borderId="8" xfId="1" applyFont="1" applyBorder="1" applyAlignment="1" applyProtection="1">
      <protection locked="0"/>
    </xf>
    <xf numFmtId="0" fontId="14" fillId="0" borderId="14" xfId="1" applyBorder="1" applyAlignment="1" applyProtection="1">
      <protection locked="0"/>
    </xf>
    <xf numFmtId="0" fontId="14" fillId="0" borderId="16" xfId="1" applyBorder="1" applyAlignment="1" applyProtection="1">
      <protection locked="0"/>
    </xf>
    <xf numFmtId="0" fontId="14" fillId="0" borderId="18" xfId="1" applyFont="1" applyBorder="1" applyAlignment="1" applyProtection="1">
      <protection locked="0"/>
    </xf>
    <xf numFmtId="0" fontId="14" fillId="0" borderId="19" xfId="1" applyFont="1" applyBorder="1" applyAlignment="1" applyProtection="1">
      <protection locked="0"/>
    </xf>
    <xf numFmtId="0" fontId="16" fillId="0" borderId="0" xfId="0" applyFont="1" applyAlignment="1">
      <alignment horizontal="center" vertical="center"/>
    </xf>
    <xf numFmtId="0" fontId="14" fillId="0" borderId="0" xfId="1" applyFont="1" applyAlignment="1" applyProtection="1">
      <alignment horizontal="left"/>
    </xf>
    <xf numFmtId="0" fontId="14" fillId="0" borderId="0" xfId="1" applyAlignment="1" applyProtection="1">
      <alignment horizontal="right"/>
      <protection locked="0"/>
    </xf>
    <xf numFmtId="0" fontId="5" fillId="0" borderId="0" xfId="0" applyFont="1" applyFill="1" applyBorder="1" applyAlignment="1" applyProtection="1"/>
    <xf numFmtId="1" fontId="5" fillId="8" borderId="9" xfId="0" applyNumberFormat="1" applyFont="1" applyFill="1" applyBorder="1" applyAlignment="1" applyProtection="1">
      <protection hidden="1"/>
    </xf>
    <xf numFmtId="1" fontId="5" fillId="8" borderId="10" xfId="0" applyNumberFormat="1" applyFont="1" applyFill="1" applyBorder="1" applyAlignment="1" applyProtection="1">
      <protection hidden="1"/>
    </xf>
    <xf numFmtId="1" fontId="5" fillId="0" borderId="7" xfId="0" applyNumberFormat="1" applyFont="1" applyFill="1" applyBorder="1" applyAlignment="1" applyProtection="1">
      <protection hidden="1"/>
    </xf>
    <xf numFmtId="1" fontId="5" fillId="0" borderId="0" xfId="0" applyNumberFormat="1" applyFont="1" applyFill="1" applyBorder="1" applyAlignment="1" applyProtection="1">
      <protection hidden="1"/>
    </xf>
    <xf numFmtId="0" fontId="5" fillId="0" borderId="0" xfId="0" applyFont="1" applyFill="1" applyBorder="1" applyAlignment="1" applyProtection="1">
      <protection hidden="1"/>
    </xf>
    <xf numFmtId="0" fontId="5" fillId="0" borderId="9" xfId="0" applyFont="1" applyFill="1" applyBorder="1" applyAlignment="1" applyProtection="1">
      <protection locked="0"/>
    </xf>
    <xf numFmtId="0" fontId="5" fillId="0" borderId="11" xfId="0" applyFont="1" applyFill="1" applyBorder="1" applyAlignment="1" applyProtection="1">
      <protection locked="0"/>
    </xf>
    <xf numFmtId="0" fontId="5" fillId="0" borderId="6" xfId="0" applyFont="1" applyFill="1" applyBorder="1" applyAlignment="1" applyProtection="1">
      <protection locked="0"/>
    </xf>
    <xf numFmtId="0" fontId="5" fillId="0" borderId="8" xfId="0" applyFont="1" applyFill="1" applyBorder="1" applyAlignment="1" applyProtection="1">
      <protection locked="0"/>
    </xf>
    <xf numFmtId="1" fontId="5" fillId="0" borderId="7" xfId="0" applyNumberFormat="1" applyFont="1" applyFill="1" applyBorder="1" applyAlignment="1" applyProtection="1"/>
    <xf numFmtId="1" fontId="5" fillId="0" borderId="0" xfId="0" applyNumberFormat="1" applyFont="1" applyFill="1" applyBorder="1" applyAlignment="1" applyProtection="1"/>
    <xf numFmtId="0" fontId="5" fillId="8" borderId="9" xfId="0" applyFont="1" applyFill="1" applyBorder="1" applyAlignment="1">
      <alignment horizontal="center"/>
    </xf>
    <xf numFmtId="0" fontId="5" fillId="8" borderId="11" xfId="0" applyFont="1" applyFill="1" applyBorder="1" applyAlignment="1">
      <alignment horizontal="center"/>
    </xf>
    <xf numFmtId="0" fontId="5" fillId="8" borderId="6" xfId="0" applyFont="1" applyFill="1" applyBorder="1" applyAlignment="1">
      <alignment horizontal="center"/>
    </xf>
    <xf numFmtId="0" fontId="5" fillId="8" borderId="8" xfId="0" applyFont="1" applyFill="1" applyBorder="1" applyAlignment="1">
      <alignment horizontal="center"/>
    </xf>
    <xf numFmtId="0" fontId="5" fillId="0" borderId="0" xfId="0" applyFont="1" applyFill="1" applyBorder="1" applyAlignment="1">
      <alignment horizontal="center"/>
    </xf>
    <xf numFmtId="1" fontId="5" fillId="0" borderId="9" xfId="0" applyNumberFormat="1" applyFont="1" applyFill="1" applyBorder="1" applyAlignment="1" applyProtection="1">
      <protection locked="0"/>
    </xf>
    <xf numFmtId="1" fontId="5" fillId="0" borderId="11" xfId="0" applyNumberFormat="1" applyFont="1" applyFill="1" applyBorder="1" applyAlignment="1" applyProtection="1">
      <protection locked="0"/>
    </xf>
    <xf numFmtId="0" fontId="9" fillId="7" borderId="9" xfId="0" applyFont="1" applyFill="1" applyBorder="1" applyAlignment="1">
      <alignment horizontal="center"/>
    </xf>
    <xf numFmtId="0" fontId="9" fillId="7" borderId="10" xfId="0" applyFont="1" applyFill="1" applyBorder="1" applyAlignment="1">
      <alignment horizontal="center"/>
    </xf>
    <xf numFmtId="0" fontId="9" fillId="7" borderId="11" xfId="0" applyFont="1" applyFill="1" applyBorder="1" applyAlignment="1">
      <alignment horizontal="center"/>
    </xf>
    <xf numFmtId="0" fontId="6" fillId="0" borderId="0" xfId="0" applyFont="1" applyFill="1" applyBorder="1" applyAlignment="1">
      <alignment horizontal="left" vertical="top"/>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0"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5" xfId="0" applyFont="1" applyFill="1" applyBorder="1" applyAlignment="1">
      <alignment horizontal="center" vertical="center" wrapText="1"/>
    </xf>
    <xf numFmtId="1" fontId="5" fillId="8" borderId="6" xfId="0" applyNumberFormat="1" applyFont="1" applyFill="1" applyBorder="1" applyAlignment="1">
      <alignment horizontal="center" vertical="center"/>
    </xf>
    <xf numFmtId="1" fontId="5" fillId="8" borderId="7" xfId="0" applyNumberFormat="1" applyFont="1" applyFill="1" applyBorder="1" applyAlignment="1">
      <alignment horizontal="center" vertical="center"/>
    </xf>
    <xf numFmtId="1" fontId="5" fillId="8" borderId="8" xfId="0" applyNumberFormat="1" applyFont="1" applyFill="1" applyBorder="1" applyAlignment="1">
      <alignment horizontal="center" vertical="center"/>
    </xf>
    <xf numFmtId="1" fontId="5" fillId="8" borderId="1" xfId="0" applyNumberFormat="1" applyFont="1" applyFill="1" applyBorder="1" applyAlignment="1">
      <alignment horizontal="center" vertical="center"/>
    </xf>
    <xf numFmtId="1" fontId="5" fillId="8" borderId="0" xfId="0" applyNumberFormat="1" applyFont="1" applyFill="1" applyBorder="1" applyAlignment="1">
      <alignment horizontal="center" vertical="center"/>
    </xf>
    <xf numFmtId="1" fontId="5" fillId="8" borderId="2" xfId="0" applyNumberFormat="1" applyFont="1" applyFill="1" applyBorder="1" applyAlignment="1">
      <alignment horizontal="center" vertical="center"/>
    </xf>
    <xf numFmtId="1" fontId="5" fillId="8" borderId="3" xfId="0" applyNumberFormat="1" applyFont="1" applyFill="1" applyBorder="1" applyAlignment="1">
      <alignment horizontal="center" vertical="center"/>
    </xf>
    <xf numFmtId="1" fontId="5" fillId="8" borderId="4" xfId="0" applyNumberFormat="1" applyFont="1" applyFill="1" applyBorder="1" applyAlignment="1">
      <alignment horizontal="center" vertical="center"/>
    </xf>
    <xf numFmtId="1" fontId="5" fillId="8" borderId="5" xfId="0" applyNumberFormat="1" applyFont="1" applyFill="1" applyBorder="1" applyAlignment="1">
      <alignment horizontal="center" vertical="center"/>
    </xf>
    <xf numFmtId="0" fontId="5" fillId="0" borderId="7" xfId="0" applyFont="1" applyFill="1" applyBorder="1" applyAlignment="1">
      <alignment horizontal="center"/>
    </xf>
    <xf numFmtId="0" fontId="10" fillId="4" borderId="9" xfId="0" applyFont="1" applyFill="1" applyBorder="1" applyAlignment="1">
      <alignment horizontal="center"/>
    </xf>
    <xf numFmtId="0" fontId="10" fillId="4" borderId="11" xfId="0" applyFont="1" applyFill="1" applyBorder="1" applyAlignment="1">
      <alignment horizontal="center"/>
    </xf>
    <xf numFmtId="0" fontId="10" fillId="3" borderId="9" xfId="0" applyFont="1" applyFill="1" applyBorder="1" applyAlignment="1">
      <alignment horizontal="center"/>
    </xf>
    <xf numFmtId="0" fontId="10" fillId="3" borderId="11" xfId="0" applyFont="1" applyFill="1" applyBorder="1" applyAlignment="1">
      <alignment horizontal="center"/>
    </xf>
    <xf numFmtId="0" fontId="10" fillId="9" borderId="9" xfId="0" applyFont="1" applyFill="1" applyBorder="1" applyAlignment="1">
      <alignment horizontal="center"/>
    </xf>
    <xf numFmtId="0" fontId="10" fillId="9" borderId="11" xfId="0" applyFont="1" applyFill="1" applyBorder="1" applyAlignment="1">
      <alignment horizontal="center"/>
    </xf>
    <xf numFmtId="0" fontId="10" fillId="6" borderId="9" xfId="0" applyFont="1" applyFill="1" applyBorder="1" applyAlignment="1">
      <alignment horizontal="center"/>
    </xf>
    <xf numFmtId="0" fontId="10" fillId="6" borderId="11" xfId="0" applyFont="1" applyFill="1" applyBorder="1" applyAlignment="1">
      <alignment horizontal="center"/>
    </xf>
    <xf numFmtId="0" fontId="10" fillId="5" borderId="9" xfId="0" applyFont="1" applyFill="1" applyBorder="1" applyAlignment="1">
      <alignment horizontal="center"/>
    </xf>
    <xf numFmtId="0" fontId="10" fillId="5" borderId="11" xfId="0" applyFont="1" applyFill="1" applyBorder="1" applyAlignment="1">
      <alignment horizontal="center"/>
    </xf>
    <xf numFmtId="0" fontId="10" fillId="0" borderId="0" xfId="0" applyFont="1" applyFill="1" applyBorder="1" applyAlignment="1">
      <alignment horizontal="center"/>
    </xf>
    <xf numFmtId="0" fontId="10" fillId="9" borderId="6" xfId="0" applyFont="1" applyFill="1" applyBorder="1" applyAlignment="1">
      <alignment horizontal="center"/>
    </xf>
    <xf numFmtId="0" fontId="10" fillId="9" borderId="8" xfId="0" applyFont="1" applyFill="1" applyBorder="1" applyAlignment="1">
      <alignment horizontal="center"/>
    </xf>
    <xf numFmtId="0" fontId="10" fillId="5" borderId="6" xfId="0" applyFont="1" applyFill="1" applyBorder="1" applyAlignment="1">
      <alignment horizontal="center"/>
    </xf>
    <xf numFmtId="0" fontId="10" fillId="5" borderId="8" xfId="0" applyFont="1" applyFill="1" applyBorder="1" applyAlignment="1">
      <alignment horizontal="center"/>
    </xf>
    <xf numFmtId="0" fontId="10" fillId="5" borderId="1" xfId="0" applyFont="1" applyFill="1" applyBorder="1" applyAlignment="1">
      <alignment horizontal="center"/>
    </xf>
    <xf numFmtId="0" fontId="10" fillId="5" borderId="2" xfId="0" applyFont="1" applyFill="1" applyBorder="1" applyAlignment="1">
      <alignment horizontal="center"/>
    </xf>
    <xf numFmtId="0" fontId="10" fillId="5" borderId="3" xfId="0" applyFont="1" applyFill="1" applyBorder="1" applyAlignment="1">
      <alignment horizontal="center"/>
    </xf>
    <xf numFmtId="0" fontId="10" fillId="5" borderId="5" xfId="0" applyFont="1" applyFill="1" applyBorder="1" applyAlignment="1">
      <alignment horizontal="center"/>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10" fillId="9" borderId="5" xfId="0" applyFont="1" applyFill="1" applyBorder="1" applyAlignment="1">
      <alignment horizontal="center"/>
    </xf>
    <xf numFmtId="0" fontId="10" fillId="4" borderId="6" xfId="0" applyFont="1" applyFill="1" applyBorder="1" applyAlignment="1">
      <alignment horizontal="center"/>
    </xf>
    <xf numFmtId="0" fontId="10" fillId="4" borderId="8" xfId="0" applyFont="1" applyFill="1" applyBorder="1" applyAlignment="1">
      <alignment horizontal="center"/>
    </xf>
    <xf numFmtId="0" fontId="10" fillId="4" borderId="1" xfId="0" applyFont="1" applyFill="1" applyBorder="1" applyAlignment="1">
      <alignment horizontal="center"/>
    </xf>
    <xf numFmtId="0" fontId="10" fillId="4" borderId="2" xfId="0" applyFont="1" applyFill="1" applyBorder="1" applyAlignment="1">
      <alignment horizontal="center"/>
    </xf>
    <xf numFmtId="0" fontId="10" fillId="4" borderId="3" xfId="0" applyFont="1" applyFill="1" applyBorder="1" applyAlignment="1">
      <alignment horizontal="center"/>
    </xf>
    <xf numFmtId="0" fontId="10" fillId="4" borderId="5" xfId="0" applyFont="1" applyFill="1" applyBorder="1" applyAlignment="1">
      <alignment horizontal="center"/>
    </xf>
    <xf numFmtId="0" fontId="10" fillId="3" borderId="6" xfId="0" applyFont="1" applyFill="1" applyBorder="1" applyAlignment="1">
      <alignment horizontal="center"/>
    </xf>
    <xf numFmtId="0" fontId="10" fillId="3" borderId="8" xfId="0" applyFont="1" applyFill="1" applyBorder="1" applyAlignment="1">
      <alignment horizontal="center"/>
    </xf>
    <xf numFmtId="0" fontId="10" fillId="3" borderId="1" xfId="0" applyFont="1" applyFill="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10" fillId="3" borderId="5" xfId="0" applyFont="1" applyFill="1" applyBorder="1" applyAlignment="1">
      <alignment horizontal="center"/>
    </xf>
    <xf numFmtId="0" fontId="10" fillId="6" borderId="6" xfId="0" applyFont="1" applyFill="1" applyBorder="1" applyAlignment="1">
      <alignment horizontal="center"/>
    </xf>
    <xf numFmtId="0" fontId="10" fillId="6" borderId="8" xfId="0" applyFont="1" applyFill="1" applyBorder="1" applyAlignment="1">
      <alignment horizont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10" fillId="6" borderId="5" xfId="0" applyFont="1" applyFill="1" applyBorder="1" applyAlignment="1">
      <alignment horizontal="center"/>
    </xf>
    <xf numFmtId="0" fontId="10" fillId="0" borderId="7" xfId="0" applyFont="1" applyFill="1" applyBorder="1" applyAlignment="1">
      <alignment horizontal="center"/>
    </xf>
    <xf numFmtId="1" fontId="3" fillId="0" borderId="12" xfId="0" applyNumberFormat="1" applyFont="1" applyBorder="1" applyAlignment="1" applyProtection="1">
      <alignment horizontal="center"/>
      <protection locked="0"/>
    </xf>
    <xf numFmtId="0" fontId="3" fillId="0" borderId="12" xfId="0" applyFont="1" applyBorder="1" applyAlignment="1" applyProtection="1">
      <alignment horizontal="center"/>
      <protection locked="0"/>
    </xf>
    <xf numFmtId="0" fontId="5" fillId="8" borderId="12" xfId="0" applyFont="1" applyFill="1" applyBorder="1" applyAlignment="1">
      <alignment horizontal="left"/>
    </xf>
    <xf numFmtId="1" fontId="3" fillId="8" borderId="12" xfId="0" applyNumberFormat="1" applyFont="1" applyFill="1" applyBorder="1" applyAlignment="1">
      <alignment horizontal="center"/>
    </xf>
    <xf numFmtId="0" fontId="3" fillId="8" borderId="12" xfId="0" applyFont="1" applyFill="1" applyBorder="1" applyAlignment="1">
      <alignment horizontal="center"/>
    </xf>
    <xf numFmtId="1" fontId="3" fillId="8" borderId="9" xfId="0" applyNumberFormat="1" applyFont="1" applyFill="1" applyBorder="1" applyAlignment="1">
      <alignment horizontal="center"/>
    </xf>
    <xf numFmtId="1" fontId="3" fillId="8" borderId="10" xfId="0" applyNumberFormat="1" applyFont="1" applyFill="1" applyBorder="1" applyAlignment="1">
      <alignment horizontal="center"/>
    </xf>
    <xf numFmtId="1" fontId="3" fillId="8" borderId="11" xfId="0" applyNumberFormat="1" applyFont="1" applyFill="1" applyBorder="1" applyAlignment="1">
      <alignment horizontal="center"/>
    </xf>
    <xf numFmtId="0" fontId="5" fillId="8" borderId="3" xfId="0" applyFont="1" applyFill="1" applyBorder="1" applyAlignment="1">
      <alignment horizontal="left"/>
    </xf>
    <xf numFmtId="0" fontId="5" fillId="8" borderId="4" xfId="0" applyFont="1" applyFill="1" applyBorder="1" applyAlignment="1">
      <alignment horizontal="left"/>
    </xf>
    <xf numFmtId="0" fontId="5" fillId="8" borderId="5" xfId="0" applyFont="1" applyFill="1" applyBorder="1" applyAlignment="1">
      <alignment horizontal="left"/>
    </xf>
    <xf numFmtId="0" fontId="5" fillId="8" borderId="12" xfId="0" applyFont="1" applyFill="1" applyBorder="1" applyAlignment="1">
      <alignment horizontal="center"/>
    </xf>
    <xf numFmtId="0" fontId="3" fillId="7" borderId="9" xfId="0" applyFont="1" applyFill="1" applyBorder="1" applyAlignment="1">
      <alignment horizontal="left"/>
    </xf>
    <xf numFmtId="0" fontId="3" fillId="7" borderId="10" xfId="0" applyFont="1" applyFill="1" applyBorder="1" applyAlignment="1">
      <alignment horizontal="left"/>
    </xf>
    <xf numFmtId="0" fontId="3" fillId="7" borderId="11" xfId="0" applyFont="1" applyFill="1" applyBorder="1" applyAlignment="1">
      <alignment horizontal="left"/>
    </xf>
    <xf numFmtId="0" fontId="5" fillId="8" borderId="9" xfId="0" applyFont="1" applyFill="1" applyBorder="1" applyAlignment="1">
      <alignment horizontal="left"/>
    </xf>
    <xf numFmtId="0" fontId="5" fillId="8" borderId="10" xfId="0" applyFont="1" applyFill="1" applyBorder="1" applyAlignment="1">
      <alignment horizontal="left"/>
    </xf>
    <xf numFmtId="1" fontId="5" fillId="0" borderId="9" xfId="0" applyNumberFormat="1" applyFont="1" applyFill="1" applyBorder="1" applyAlignment="1" applyProtection="1">
      <alignment horizontal="center"/>
      <protection locked="0"/>
    </xf>
    <xf numFmtId="1" fontId="5" fillId="0" borderId="10" xfId="0" applyNumberFormat="1" applyFont="1" applyFill="1" applyBorder="1" applyAlignment="1" applyProtection="1">
      <alignment horizontal="center"/>
      <protection locked="0"/>
    </xf>
    <xf numFmtId="1" fontId="5" fillId="0" borderId="11" xfId="0" applyNumberFormat="1" applyFont="1" applyFill="1" applyBorder="1" applyAlignment="1" applyProtection="1">
      <alignment horizontal="center"/>
      <protection locked="0"/>
    </xf>
    <xf numFmtId="1" fontId="6" fillId="8" borderId="10" xfId="0" applyNumberFormat="1" applyFont="1" applyFill="1" applyBorder="1" applyAlignment="1" applyProtection="1">
      <alignment horizontal="left"/>
    </xf>
    <xf numFmtId="1" fontId="6" fillId="8" borderId="11" xfId="0" applyNumberFormat="1" applyFont="1" applyFill="1" applyBorder="1" applyAlignment="1" applyProtection="1">
      <alignment horizontal="left"/>
    </xf>
    <xf numFmtId="1" fontId="6" fillId="8" borderId="9" xfId="0" applyNumberFormat="1" applyFont="1" applyFill="1" applyBorder="1" applyAlignment="1" applyProtection="1">
      <alignment horizontal="left"/>
    </xf>
    <xf numFmtId="0" fontId="6" fillId="0" borderId="4" xfId="0" applyFont="1" applyFill="1" applyBorder="1" applyAlignment="1">
      <alignment horizontal="left" vertical="top" wrapText="1"/>
    </xf>
    <xf numFmtId="0" fontId="6" fillId="8" borderId="6"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9" fillId="0" borderId="22" xfId="0" applyFont="1" applyBorder="1" applyAlignment="1">
      <alignment horizontal="center"/>
    </xf>
    <xf numFmtId="0" fontId="9" fillId="0" borderId="13" xfId="0" applyFont="1" applyBorder="1" applyAlignment="1">
      <alignment horizontal="center"/>
    </xf>
    <xf numFmtId="0" fontId="3" fillId="0" borderId="24" xfId="0" applyFont="1" applyBorder="1" applyAlignment="1">
      <alignment horizontal="center"/>
    </xf>
    <xf numFmtId="0" fontId="3" fillId="0" borderId="0" xfId="0" applyFont="1" applyBorder="1" applyAlignment="1">
      <alignment horizontal="center"/>
    </xf>
    <xf numFmtId="0" fontId="3" fillId="0" borderId="13" xfId="0" applyFont="1" applyBorder="1" applyAlignment="1">
      <alignment horizontal="center"/>
    </xf>
    <xf numFmtId="0" fontId="3" fillId="0" borderId="23" xfId="0" applyFont="1" applyBorder="1" applyAlignment="1">
      <alignment horizontal="center"/>
    </xf>
    <xf numFmtId="0" fontId="3" fillId="0" borderId="26" xfId="0" applyFont="1" applyBorder="1" applyAlignment="1">
      <alignment horizontal="center"/>
    </xf>
    <xf numFmtId="0" fontId="3" fillId="0" borderId="21" xfId="0" applyFont="1" applyBorder="1" applyAlignment="1">
      <alignment horizontal="center"/>
    </xf>
    <xf numFmtId="0" fontId="5" fillId="0" borderId="0" xfId="0" applyFont="1" applyBorder="1" applyAlignment="1">
      <alignment horizontal="center"/>
    </xf>
    <xf numFmtId="0" fontId="5" fillId="0" borderId="21" xfId="0" applyFont="1" applyBorder="1" applyAlignment="1">
      <alignment horizontal="center"/>
    </xf>
    <xf numFmtId="0" fontId="5" fillId="0" borderId="25" xfId="0" applyFont="1" applyBorder="1" applyAlignment="1">
      <alignment horizontal="center"/>
    </xf>
    <xf numFmtId="0" fontId="5" fillId="0" borderId="27"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1" fillId="4" borderId="0" xfId="0" applyFont="1" applyFill="1" applyAlignment="1">
      <alignment horizontal="center"/>
    </xf>
    <xf numFmtId="0" fontId="0" fillId="2" borderId="0" xfId="0" applyFill="1" applyAlignment="1">
      <alignment horizontal="left"/>
    </xf>
  </cellXfs>
  <cellStyles count="3">
    <cellStyle name="Forklarende tekst" xfId="2" builtinId="53"/>
    <cellStyle name="Link" xfId="1" builtinId="8" customBuiltin="1"/>
    <cellStyle name="Normal" xfId="0" builtinId="0"/>
  </cellStyles>
  <dxfs count="24">
    <dxf>
      <numFmt numFmtId="0" formatCode="General"/>
    </dxf>
    <dxf>
      <numFmt numFmtId="0" formatCode="General"/>
    </dxf>
    <dxf>
      <numFmt numFmtId="0" formatCode="General"/>
    </dxf>
    <dxf>
      <numFmt numFmtId="0" formatCode="General"/>
    </dxf>
    <dxf>
      <numFmt numFmtId="0" formatCode="General"/>
    </dxf>
    <dxf>
      <numFmt numFmtId="1" formatCode="0"/>
    </dxf>
    <dxf>
      <numFmt numFmtId="1" formatCode="0"/>
    </dxf>
    <dxf>
      <numFmt numFmtId="2" formatCode="0.00"/>
    </dxf>
    <dxf>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bottom" textRotation="0" wrapText="0" indent="0" justifyLastLine="0" shrinkToFit="0" readingOrder="0"/>
    </dxf>
    <dxf>
      <fill>
        <patternFill>
          <bgColor theme="5"/>
        </patternFill>
      </fill>
    </dxf>
    <dxf>
      <fill>
        <patternFill>
          <bgColor theme="4"/>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s>
  <tableStyles count="0" defaultTableStyle="TableStyleMedium2" defaultPivotStyle="PivotStyleLight16"/>
  <colors>
    <mruColors>
      <color rgb="FFB8B8B8"/>
      <color rgb="FFF7D6DE"/>
      <color rgb="FF000000"/>
      <color rgb="FF656565"/>
      <color rgb="FF009C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kurver!$O$6</c:f>
          <c:strCache>
            <c:ptCount val="1"/>
            <c:pt idx="0">
              <c:v>General Fatigue</c:v>
            </c:pt>
          </c:strCache>
        </c:strRef>
      </c:tx>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 panose="020B0506040000020004" pitchFamily="34" charset="0"/>
              <a:ea typeface="+mn-ea"/>
              <a:cs typeface="+mn-cs"/>
            </a:defRPr>
          </a:pPr>
          <a:endParaRPr lang="da-DK"/>
        </a:p>
      </c:txPr>
    </c:title>
    <c:autoTitleDeleted val="0"/>
    <c:plotArea>
      <c:layout/>
      <c:areaChart>
        <c:grouping val="standard"/>
        <c:varyColors val="0"/>
        <c:ser>
          <c:idx val="0"/>
          <c:order val="0"/>
          <c:tx>
            <c:strRef>
              <c:f>kurver!$K$1</c:f>
              <c:strCache>
                <c:ptCount val="1"/>
                <c:pt idx="0">
                  <c:v>General</c:v>
                </c:pt>
              </c:strCache>
            </c:strRef>
          </c:tx>
          <c:spPr>
            <a:solidFill>
              <a:schemeClr val="bg2"/>
            </a:solidFill>
            <a:ln>
              <a:solidFill>
                <a:sysClr val="windowText" lastClr="000000"/>
              </a:solidFill>
            </a:ln>
            <a:effectLst/>
          </c:spPr>
          <c:cat>
            <c:numRef>
              <c:f>[0]!xaxis</c:f>
              <c:numCache>
                <c:formatCode>General</c:formatCode>
                <c:ptCount val="33"/>
                <c:pt idx="0">
                  <c:v>4</c:v>
                </c:pt>
                <c:pt idx="1">
                  <c:v>4.5</c:v>
                </c:pt>
                <c:pt idx="2">
                  <c:v>5</c:v>
                </c:pt>
                <c:pt idx="3">
                  <c:v>5.5</c:v>
                </c:pt>
                <c:pt idx="4">
                  <c:v>6</c:v>
                </c:pt>
                <c:pt idx="5">
                  <c:v>6.5</c:v>
                </c:pt>
                <c:pt idx="6">
                  <c:v>7</c:v>
                </c:pt>
                <c:pt idx="7">
                  <c:v>7.5</c:v>
                </c:pt>
                <c:pt idx="8">
                  <c:v>8</c:v>
                </c:pt>
                <c:pt idx="9">
                  <c:v>8.5</c:v>
                </c:pt>
                <c:pt idx="10">
                  <c:v>9</c:v>
                </c:pt>
                <c:pt idx="11">
                  <c:v>9.5</c:v>
                </c:pt>
                <c:pt idx="12">
                  <c:v>10</c:v>
                </c:pt>
                <c:pt idx="13">
                  <c:v>10.5</c:v>
                </c:pt>
                <c:pt idx="14">
                  <c:v>11</c:v>
                </c:pt>
                <c:pt idx="15">
                  <c:v>11.5</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20</c:v>
                </c:pt>
              </c:numCache>
            </c:numRef>
          </c:cat>
          <c:val>
            <c:numRef>
              <c:f>[0]!normalkurve</c:f>
              <c:numCache>
                <c:formatCode>General</c:formatCode>
                <c:ptCount val="33"/>
                <c:pt idx="0">
                  <c:v>7.685348136534606E-2</c:v>
                </c:pt>
                <c:pt idx="1">
                  <c:v>7.3702508204244899E-2</c:v>
                </c:pt>
                <c:pt idx="2">
                  <c:v>6.3116271438539567E-2</c:v>
                </c:pt>
                <c:pt idx="3">
                  <c:v>5.2475174696854178E-2</c:v>
                </c:pt>
                <c:pt idx="4">
                  <c:v>4.5451216156097908E-2</c:v>
                </c:pt>
                <c:pt idx="5">
                  <c:v>4.1263298669056522E-2</c:v>
                </c:pt>
                <c:pt idx="6">
                  <c:v>3.9402634796948277E-2</c:v>
                </c:pt>
                <c:pt idx="7">
                  <c:v>3.8926980809525037E-2</c:v>
                </c:pt>
                <c:pt idx="8">
                  <c:v>3.8157772549521657E-2</c:v>
                </c:pt>
                <c:pt idx="9">
                  <c:v>3.6647855664061597E-2</c:v>
                </c:pt>
                <c:pt idx="10">
                  <c:v>3.4722539004916217E-2</c:v>
                </c:pt>
                <c:pt idx="11">
                  <c:v>3.3015563330365691E-2</c:v>
                </c:pt>
                <c:pt idx="12">
                  <c:v>3.1727167634435637E-2</c:v>
                </c:pt>
                <c:pt idx="13">
                  <c:v>3.1312606206016863E-2</c:v>
                </c:pt>
                <c:pt idx="14">
                  <c:v>3.1222689089520691E-2</c:v>
                </c:pt>
                <c:pt idx="15">
                  <c:v>3.10250421407905E-2</c:v>
                </c:pt>
                <c:pt idx="16">
                  <c:v>3.0453854362784499E-2</c:v>
                </c:pt>
                <c:pt idx="17">
                  <c:v>2.8749407973354641E-2</c:v>
                </c:pt>
                <c:pt idx="18">
                  <c:v>2.6585877630867751E-2</c:v>
                </c:pt>
                <c:pt idx="19">
                  <c:v>2.4118514811060351E-2</c:v>
                </c:pt>
                <c:pt idx="20">
                  <c:v>2.1556410232797831E-2</c:v>
                </c:pt>
                <c:pt idx="21">
                  <c:v>1.9365182984565101E-2</c:v>
                </c:pt>
                <c:pt idx="22">
                  <c:v>1.7593567002003031E-2</c:v>
                </c:pt>
                <c:pt idx="23">
                  <c:v>1.6183891296086099E-2</c:v>
                </c:pt>
                <c:pt idx="24">
                  <c:v>1.484590072543948E-2</c:v>
                </c:pt>
                <c:pt idx="25">
                  <c:v>1.3205744162356779E-2</c:v>
                </c:pt>
                <c:pt idx="26">
                  <c:v>1.1580306792439741E-2</c:v>
                </c:pt>
                <c:pt idx="27">
                  <c:v>1.047433850912113E-2</c:v>
                </c:pt>
                <c:pt idx="28">
                  <c:v>1.040450022681572E-2</c:v>
                </c:pt>
                <c:pt idx="29">
                  <c:v>1.125415916417797E-2</c:v>
                </c:pt>
                <c:pt idx="30">
                  <c:v>1.3183161625873919E-2</c:v>
                </c:pt>
                <c:pt idx="31">
                  <c:v>1.5340614294307201E-2</c:v>
                </c:pt>
                <c:pt idx="32">
                  <c:v>1.6081766449707428E-2</c:v>
                </c:pt>
              </c:numCache>
            </c:numRef>
          </c:val>
          <c:extLst>
            <c:ext xmlns:c16="http://schemas.microsoft.com/office/drawing/2014/chart" uri="{C3380CC4-5D6E-409C-BE32-E72D297353CC}">
              <c16:uniqueId val="{00000000-B4CA-47C5-BD5D-59083919401C}"/>
            </c:ext>
          </c:extLst>
        </c:ser>
        <c:ser>
          <c:idx val="1"/>
          <c:order val="1"/>
          <c:tx>
            <c:strRef>
              <c:f>kurver!$M$1</c:f>
              <c:strCache>
                <c:ptCount val="1"/>
                <c:pt idx="0">
                  <c:v>Observeret</c:v>
                </c:pt>
              </c:strCache>
            </c:strRef>
          </c:tx>
          <c:spPr>
            <a:solidFill>
              <a:schemeClr val="accent3"/>
            </a:solidFill>
            <a:ln>
              <a:solidFill>
                <a:sysClr val="windowText" lastClr="000000"/>
              </a:solidFill>
            </a:ln>
            <a:effectLst/>
          </c:spPr>
          <c:val>
            <c:numRef>
              <c:f>[0]!observeret</c:f>
              <c:numCache>
                <c:formatCode>0.00</c:formatCode>
                <c:ptCount val="33"/>
                <c:pt idx="0">
                  <c:v>7.685348136534606E-2</c:v>
                </c:pt>
                <c:pt idx="1">
                  <c:v>7.3702508204244899E-2</c:v>
                </c:pt>
                <c:pt idx="2">
                  <c:v>6.3116271438539567E-2</c:v>
                </c:pt>
                <c:pt idx="3">
                  <c:v>5.2475174696854178E-2</c:v>
                </c:pt>
                <c:pt idx="4">
                  <c:v>4.5451216156097908E-2</c:v>
                </c:pt>
                <c:pt idx="5">
                  <c:v>4.1263298669056522E-2</c:v>
                </c:pt>
                <c:pt idx="6">
                  <c:v>3.9402634796948277E-2</c:v>
                </c:pt>
                <c:pt idx="7">
                  <c:v>3.8926980809525037E-2</c:v>
                </c:pt>
                <c:pt idx="8">
                  <c:v>3.8157772549521657E-2</c:v>
                </c:pt>
                <c:pt idx="9">
                  <c:v>3.6647855664061597E-2</c:v>
                </c:pt>
                <c:pt idx="10">
                  <c:v>3.4722539004916217E-2</c:v>
                </c:pt>
                <c:pt idx="11">
                  <c:v>3.3015563330365691E-2</c:v>
                </c:pt>
                <c:pt idx="12">
                  <c:v>3.1727167634435637E-2</c:v>
                </c:pt>
                <c:pt idx="13">
                  <c:v>3.1312606206016863E-2</c:v>
                </c:pt>
                <c:pt idx="14">
                  <c:v>3.1222689089520691E-2</c:v>
                </c:pt>
                <c:pt idx="15">
                  <c:v>3.10250421407905E-2</c:v>
                </c:pt>
                <c:pt idx="16">
                  <c:v>3.0453854362784499E-2</c:v>
                </c:pt>
                <c:pt idx="17">
                  <c:v>2.8749407973354641E-2</c:v>
                </c:pt>
                <c:pt idx="18">
                  <c:v>2.6585877630867751E-2</c:v>
                </c:pt>
                <c:pt idx="19">
                  <c:v>2.4118514811060351E-2</c:v>
                </c:pt>
                <c:pt idx="20">
                  <c:v>2.1556410232797831E-2</c:v>
                </c:pt>
                <c:pt idx="21">
                  <c:v>1.9365182984565101E-2</c:v>
                </c:pt>
                <c:pt idx="22">
                  <c:v>1.7593567002003031E-2</c:v>
                </c:pt>
                <c:pt idx="23">
                  <c:v>1.6183891296086099E-2</c:v>
                </c:pt>
                <c:pt idx="24">
                  <c:v>1.484590072543948E-2</c:v>
                </c:pt>
                <c:pt idx="25">
                  <c:v>1.3205744162356779E-2</c:v>
                </c:pt>
                <c:pt idx="26">
                  <c:v>1.1580306792439741E-2</c:v>
                </c:pt>
                <c:pt idx="27">
                  <c:v>1.047433850912113E-2</c:v>
                </c:pt>
                <c:pt idx="28">
                  <c:v>1.040450022681572E-2</c:v>
                </c:pt>
                <c:pt idx="29">
                  <c:v>1.125415916417797E-2</c:v>
                </c:pt>
                <c:pt idx="30">
                  <c:v>1.3183161625873919E-2</c:v>
                </c:pt>
                <c:pt idx="31">
                  <c:v>1.5340614294307201E-2</c:v>
                </c:pt>
                <c:pt idx="32">
                  <c:v>1.6081766449707428E-2</c:v>
                </c:pt>
              </c:numCache>
            </c:numRef>
          </c:val>
          <c:extLst>
            <c:ext xmlns:c16="http://schemas.microsoft.com/office/drawing/2014/chart" uri="{C3380CC4-5D6E-409C-BE32-E72D297353CC}">
              <c16:uniqueId val="{00000001-B4CA-47C5-BD5D-59083919401C}"/>
            </c:ext>
          </c:extLst>
        </c:ser>
        <c:dLbls>
          <c:showLegendKey val="0"/>
          <c:showVal val="0"/>
          <c:showCatName val="0"/>
          <c:showSerName val="0"/>
          <c:showPercent val="0"/>
          <c:showBubbleSize val="0"/>
        </c:dLbls>
        <c:axId val="556759080"/>
        <c:axId val="1"/>
      </c:areaChart>
      <c:catAx>
        <c:axId val="556759080"/>
        <c:scaling>
          <c:orientation val="minMax"/>
        </c:scaling>
        <c:delete val="0"/>
        <c:axPos val="b"/>
        <c:title>
          <c:tx>
            <c:rich>
              <a:bodyPr/>
              <a:lstStyle/>
              <a:p>
                <a:pPr>
                  <a:defRPr/>
                </a:pPr>
                <a:r>
                  <a:rPr lang="en-US" b="0">
                    <a:latin typeface="Mari Book" panose="020B0000000000000000" pitchFamily="34" charset="0"/>
                  </a:rPr>
                  <a:t>Råscore</a:t>
                </a:r>
              </a:p>
            </c:rich>
          </c:tx>
          <c:overlay val="0"/>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 Book" panose="020B0000000000000000" pitchFamily="34" charset="0"/>
                <a:ea typeface="+mn-ea"/>
                <a:cs typeface="+mn-cs"/>
              </a:defRPr>
            </a:pPr>
            <a:endParaRPr lang="da-DK"/>
          </a:p>
        </c:txPr>
        <c:crossAx val="1"/>
        <c:crosses val="autoZero"/>
        <c:auto val="1"/>
        <c:lblAlgn val="ctr"/>
        <c:lblOffset val="100"/>
        <c:noMultiLvlLbl val="0"/>
      </c:catAx>
      <c:valAx>
        <c:axId val="1"/>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556759080"/>
        <c:crosses val="autoZero"/>
        <c:crossBetween val="midCat"/>
      </c:valAx>
      <c:spPr>
        <a:noFill/>
        <a:ln w="25400">
          <a:noFill/>
        </a:ln>
      </c:spPr>
    </c:plotArea>
    <c:plotVisOnly val="1"/>
    <c:dispBlanksAs val="zero"/>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 panose="020B0506040000020004" pitchFamily="34" charset="0"/>
                <a:ea typeface="+mn-ea"/>
                <a:cs typeface="+mn-cs"/>
              </a:defRPr>
            </a:pPr>
            <a:r>
              <a:rPr lang="en-US">
                <a:latin typeface="Mari" panose="020B0506040000020004" pitchFamily="34" charset="0"/>
              </a:rPr>
              <a:t>Træthedsprofil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ari" panose="020B0506040000020004" pitchFamily="34" charset="0"/>
              <a:ea typeface="+mn-ea"/>
              <a:cs typeface="+mn-cs"/>
            </a:defRPr>
          </a:pPr>
          <a:endParaRPr lang="da-DK"/>
        </a:p>
      </c:txPr>
    </c:title>
    <c:autoTitleDeleted val="0"/>
    <c:plotArea>
      <c:layout/>
      <c:radarChart>
        <c:radarStyle val="filled"/>
        <c:varyColors val="0"/>
        <c:ser>
          <c:idx val="0"/>
          <c:order val="0"/>
          <c:spPr>
            <a:solidFill>
              <a:srgbClr val="F7D6DE">
                <a:alpha val="80000"/>
              </a:srgbClr>
            </a:solidFill>
            <a:ln>
              <a:solidFill>
                <a:schemeClr val="tx1"/>
              </a:solidFill>
            </a:ln>
            <a:effectLst/>
          </c:spPr>
          <c:cat>
            <c:strRef>
              <c:f>spider!$A$1:$E$1</c:f>
              <c:strCache>
                <c:ptCount val="5"/>
                <c:pt idx="0">
                  <c:v>General Fatigue</c:v>
                </c:pt>
                <c:pt idx="1">
                  <c:v>Physical Fatigue</c:v>
                </c:pt>
                <c:pt idx="2">
                  <c:v>Reduced Activity</c:v>
                </c:pt>
                <c:pt idx="3">
                  <c:v>Mental Fatigue</c:v>
                </c:pt>
                <c:pt idx="4">
                  <c:v>Reduced Motivation</c:v>
                </c:pt>
              </c:strCache>
            </c:strRef>
          </c:cat>
          <c:val>
            <c:numRef>
              <c:f>spider!$A$2:$E$2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535-4599-8F86-24567DBE84C7}"/>
            </c:ext>
          </c:extLst>
        </c:ser>
        <c:dLbls>
          <c:showLegendKey val="0"/>
          <c:showVal val="0"/>
          <c:showCatName val="0"/>
          <c:showSerName val="0"/>
          <c:showPercent val="0"/>
          <c:showBubbleSize val="0"/>
        </c:dLbls>
        <c:axId val="756183168"/>
        <c:axId val="756184248"/>
      </c:radarChart>
      <c:catAx>
        <c:axId val="7561831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 Book" panose="020B0000000000000000" pitchFamily="34" charset="0"/>
                <a:ea typeface="+mn-ea"/>
                <a:cs typeface="+mn-cs"/>
              </a:defRPr>
            </a:pPr>
            <a:endParaRPr lang="da-DK"/>
          </a:p>
        </c:txPr>
        <c:crossAx val="756184248"/>
        <c:crosses val="autoZero"/>
        <c:auto val="1"/>
        <c:lblAlgn val="ctr"/>
        <c:lblOffset val="100"/>
        <c:noMultiLvlLbl val="0"/>
      </c:catAx>
      <c:valAx>
        <c:axId val="75618424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one"/>
        <c:spPr>
          <a:solidFill>
            <a:srgbClr val="000000">
              <a:alpha val="20000"/>
            </a:srgbClr>
          </a:solid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56183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kurver!$O$6</c:f>
          <c:strCache>
            <c:ptCount val="1"/>
            <c:pt idx="0">
              <c:v>General Fatigue</c:v>
            </c:pt>
          </c:strCache>
        </c:strRef>
      </c:tx>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areaChart>
        <c:grouping val="standard"/>
        <c:varyColors val="0"/>
        <c:ser>
          <c:idx val="0"/>
          <c:order val="0"/>
          <c:spPr>
            <a:solidFill>
              <a:schemeClr val="bg2"/>
            </a:solidFill>
            <a:ln>
              <a:solidFill>
                <a:sysClr val="windowText" lastClr="000000"/>
              </a:solidFill>
            </a:ln>
            <a:effectLst/>
          </c:spPr>
          <c:cat>
            <c:numRef>
              <c:f>[0]!xaxis</c:f>
              <c:numCache>
                <c:formatCode>General</c:formatCode>
                <c:ptCount val="33"/>
                <c:pt idx="0">
                  <c:v>4</c:v>
                </c:pt>
                <c:pt idx="1">
                  <c:v>4.5</c:v>
                </c:pt>
                <c:pt idx="2">
                  <c:v>5</c:v>
                </c:pt>
                <c:pt idx="3">
                  <c:v>5.5</c:v>
                </c:pt>
                <c:pt idx="4">
                  <c:v>6</c:v>
                </c:pt>
                <c:pt idx="5">
                  <c:v>6.5</c:v>
                </c:pt>
                <c:pt idx="6">
                  <c:v>7</c:v>
                </c:pt>
                <c:pt idx="7">
                  <c:v>7.5</c:v>
                </c:pt>
                <c:pt idx="8">
                  <c:v>8</c:v>
                </c:pt>
                <c:pt idx="9">
                  <c:v>8.5</c:v>
                </c:pt>
                <c:pt idx="10">
                  <c:v>9</c:v>
                </c:pt>
                <c:pt idx="11">
                  <c:v>9.5</c:v>
                </c:pt>
                <c:pt idx="12">
                  <c:v>10</c:v>
                </c:pt>
                <c:pt idx="13">
                  <c:v>10.5</c:v>
                </c:pt>
                <c:pt idx="14">
                  <c:v>11</c:v>
                </c:pt>
                <c:pt idx="15">
                  <c:v>11.5</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20</c:v>
                </c:pt>
              </c:numCache>
            </c:numRef>
          </c:cat>
          <c:val>
            <c:numRef>
              <c:f>[0]!normalkurve</c:f>
              <c:numCache>
                <c:formatCode>General</c:formatCode>
                <c:ptCount val="33"/>
                <c:pt idx="0">
                  <c:v>7.685348136534606E-2</c:v>
                </c:pt>
                <c:pt idx="1">
                  <c:v>7.3702508204244899E-2</c:v>
                </c:pt>
                <c:pt idx="2">
                  <c:v>6.3116271438539567E-2</c:v>
                </c:pt>
                <c:pt idx="3">
                  <c:v>5.2475174696854178E-2</c:v>
                </c:pt>
                <c:pt idx="4">
                  <c:v>4.5451216156097908E-2</c:v>
                </c:pt>
                <c:pt idx="5">
                  <c:v>4.1263298669056522E-2</c:v>
                </c:pt>
                <c:pt idx="6">
                  <c:v>3.9402634796948277E-2</c:v>
                </c:pt>
                <c:pt idx="7">
                  <c:v>3.8926980809525037E-2</c:v>
                </c:pt>
                <c:pt idx="8">
                  <c:v>3.8157772549521657E-2</c:v>
                </c:pt>
                <c:pt idx="9">
                  <c:v>3.6647855664061597E-2</c:v>
                </c:pt>
                <c:pt idx="10">
                  <c:v>3.4722539004916217E-2</c:v>
                </c:pt>
                <c:pt idx="11">
                  <c:v>3.3015563330365691E-2</c:v>
                </c:pt>
                <c:pt idx="12">
                  <c:v>3.1727167634435637E-2</c:v>
                </c:pt>
                <c:pt idx="13">
                  <c:v>3.1312606206016863E-2</c:v>
                </c:pt>
                <c:pt idx="14">
                  <c:v>3.1222689089520691E-2</c:v>
                </c:pt>
                <c:pt idx="15">
                  <c:v>3.10250421407905E-2</c:v>
                </c:pt>
                <c:pt idx="16">
                  <c:v>3.0453854362784499E-2</c:v>
                </c:pt>
                <c:pt idx="17">
                  <c:v>2.8749407973354641E-2</c:v>
                </c:pt>
                <c:pt idx="18">
                  <c:v>2.6585877630867751E-2</c:v>
                </c:pt>
                <c:pt idx="19">
                  <c:v>2.4118514811060351E-2</c:v>
                </c:pt>
                <c:pt idx="20">
                  <c:v>2.1556410232797831E-2</c:v>
                </c:pt>
                <c:pt idx="21">
                  <c:v>1.9365182984565101E-2</c:v>
                </c:pt>
                <c:pt idx="22">
                  <c:v>1.7593567002003031E-2</c:v>
                </c:pt>
                <c:pt idx="23">
                  <c:v>1.6183891296086099E-2</c:v>
                </c:pt>
                <c:pt idx="24">
                  <c:v>1.484590072543948E-2</c:v>
                </c:pt>
                <c:pt idx="25">
                  <c:v>1.3205744162356779E-2</c:v>
                </c:pt>
                <c:pt idx="26">
                  <c:v>1.1580306792439741E-2</c:v>
                </c:pt>
                <c:pt idx="27">
                  <c:v>1.047433850912113E-2</c:v>
                </c:pt>
                <c:pt idx="28">
                  <c:v>1.040450022681572E-2</c:v>
                </c:pt>
                <c:pt idx="29">
                  <c:v>1.125415916417797E-2</c:v>
                </c:pt>
                <c:pt idx="30">
                  <c:v>1.3183161625873919E-2</c:v>
                </c:pt>
                <c:pt idx="31">
                  <c:v>1.5340614294307201E-2</c:v>
                </c:pt>
                <c:pt idx="32">
                  <c:v>1.6081766449707428E-2</c:v>
                </c:pt>
              </c:numCache>
            </c:numRef>
          </c:val>
          <c:extLst>
            <c:ext xmlns:c16="http://schemas.microsoft.com/office/drawing/2014/chart" uri="{C3380CC4-5D6E-409C-BE32-E72D297353CC}">
              <c16:uniqueId val="{00000000-D315-4515-B21D-19449273C44D}"/>
            </c:ext>
          </c:extLst>
        </c:ser>
        <c:ser>
          <c:idx val="1"/>
          <c:order val="1"/>
          <c:spPr>
            <a:solidFill>
              <a:schemeClr val="accent3"/>
            </a:solidFill>
            <a:ln>
              <a:solidFill>
                <a:sysClr val="windowText" lastClr="000000"/>
              </a:solidFill>
            </a:ln>
            <a:effectLst/>
          </c:spPr>
          <c:val>
            <c:numRef>
              <c:f>[0]!observeret</c:f>
              <c:numCache>
                <c:formatCode>0.00</c:formatCode>
                <c:ptCount val="33"/>
                <c:pt idx="0">
                  <c:v>7.685348136534606E-2</c:v>
                </c:pt>
                <c:pt idx="1">
                  <c:v>7.3702508204244899E-2</c:v>
                </c:pt>
                <c:pt idx="2">
                  <c:v>6.3116271438539567E-2</c:v>
                </c:pt>
                <c:pt idx="3">
                  <c:v>5.2475174696854178E-2</c:v>
                </c:pt>
                <c:pt idx="4">
                  <c:v>4.5451216156097908E-2</c:v>
                </c:pt>
                <c:pt idx="5">
                  <c:v>4.1263298669056522E-2</c:v>
                </c:pt>
                <c:pt idx="6">
                  <c:v>3.9402634796948277E-2</c:v>
                </c:pt>
                <c:pt idx="7">
                  <c:v>3.8926980809525037E-2</c:v>
                </c:pt>
                <c:pt idx="8">
                  <c:v>3.8157772549521657E-2</c:v>
                </c:pt>
                <c:pt idx="9">
                  <c:v>3.6647855664061597E-2</c:v>
                </c:pt>
                <c:pt idx="10">
                  <c:v>3.4722539004916217E-2</c:v>
                </c:pt>
                <c:pt idx="11">
                  <c:v>3.3015563330365691E-2</c:v>
                </c:pt>
                <c:pt idx="12">
                  <c:v>3.1727167634435637E-2</c:v>
                </c:pt>
                <c:pt idx="13">
                  <c:v>3.1312606206016863E-2</c:v>
                </c:pt>
                <c:pt idx="14">
                  <c:v>3.1222689089520691E-2</c:v>
                </c:pt>
                <c:pt idx="15">
                  <c:v>3.10250421407905E-2</c:v>
                </c:pt>
                <c:pt idx="16">
                  <c:v>3.0453854362784499E-2</c:v>
                </c:pt>
                <c:pt idx="17">
                  <c:v>2.8749407973354641E-2</c:v>
                </c:pt>
                <c:pt idx="18">
                  <c:v>2.6585877630867751E-2</c:v>
                </c:pt>
                <c:pt idx="19">
                  <c:v>2.4118514811060351E-2</c:v>
                </c:pt>
                <c:pt idx="20">
                  <c:v>2.1556410232797831E-2</c:v>
                </c:pt>
                <c:pt idx="21">
                  <c:v>1.9365182984565101E-2</c:v>
                </c:pt>
                <c:pt idx="22">
                  <c:v>1.7593567002003031E-2</c:v>
                </c:pt>
                <c:pt idx="23">
                  <c:v>1.6183891296086099E-2</c:v>
                </c:pt>
                <c:pt idx="24">
                  <c:v>1.484590072543948E-2</c:v>
                </c:pt>
                <c:pt idx="25">
                  <c:v>1.3205744162356779E-2</c:v>
                </c:pt>
                <c:pt idx="26">
                  <c:v>1.1580306792439741E-2</c:v>
                </c:pt>
                <c:pt idx="27">
                  <c:v>1.047433850912113E-2</c:v>
                </c:pt>
                <c:pt idx="28">
                  <c:v>1.040450022681572E-2</c:v>
                </c:pt>
                <c:pt idx="29">
                  <c:v>1.125415916417797E-2</c:v>
                </c:pt>
                <c:pt idx="30">
                  <c:v>1.3183161625873919E-2</c:v>
                </c:pt>
                <c:pt idx="31">
                  <c:v>1.5340614294307201E-2</c:v>
                </c:pt>
                <c:pt idx="32">
                  <c:v>1.6081766449707428E-2</c:v>
                </c:pt>
              </c:numCache>
            </c:numRef>
          </c:val>
          <c:extLst>
            <c:ext xmlns:c16="http://schemas.microsoft.com/office/drawing/2014/chart" uri="{C3380CC4-5D6E-409C-BE32-E72D297353CC}">
              <c16:uniqueId val="{00000001-D315-4515-B21D-19449273C44D}"/>
            </c:ext>
          </c:extLst>
        </c:ser>
        <c:dLbls>
          <c:showLegendKey val="0"/>
          <c:showVal val="0"/>
          <c:showCatName val="0"/>
          <c:showSerName val="0"/>
          <c:showPercent val="0"/>
          <c:showBubbleSize val="0"/>
        </c:dLbls>
        <c:axId val="556757112"/>
        <c:axId val="1"/>
      </c:areaChart>
      <c:catAx>
        <c:axId val="5567571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56757112"/>
        <c:crosses val="autoZero"/>
        <c:crossBetween val="midCat"/>
      </c:valAx>
      <c:spPr>
        <a:noFill/>
        <a:ln w="25400">
          <a:noFill/>
        </a:ln>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Percentilværdier på delskalaerne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radarChart>
        <c:radarStyle val="filled"/>
        <c:varyColors val="0"/>
        <c:ser>
          <c:idx val="0"/>
          <c:order val="0"/>
          <c:spPr>
            <a:solidFill>
              <a:schemeClr val="accent1"/>
            </a:solidFill>
            <a:ln>
              <a:noFill/>
            </a:ln>
            <a:effectLst/>
          </c:spPr>
          <c:cat>
            <c:strRef>
              <c:f>spider!$A$1:$E$1</c:f>
              <c:strCache>
                <c:ptCount val="5"/>
                <c:pt idx="0">
                  <c:v>General Fatigue</c:v>
                </c:pt>
                <c:pt idx="1">
                  <c:v>Physical Fatigue</c:v>
                </c:pt>
                <c:pt idx="2">
                  <c:v>Reduced Activity</c:v>
                </c:pt>
                <c:pt idx="3">
                  <c:v>Mental Fatigue</c:v>
                </c:pt>
                <c:pt idx="4">
                  <c:v>Reduced Motivation</c:v>
                </c:pt>
              </c:strCache>
            </c:strRef>
          </c:cat>
          <c:val>
            <c:numRef>
              <c:f>spider!$A$2:$E$2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907-453D-B341-1D4F655DCC3C}"/>
            </c:ext>
          </c:extLst>
        </c:ser>
        <c:dLbls>
          <c:showLegendKey val="0"/>
          <c:showVal val="0"/>
          <c:showCatName val="0"/>
          <c:showSerName val="0"/>
          <c:showPercent val="0"/>
          <c:showBubbleSize val="0"/>
        </c:dLbls>
        <c:axId val="756183168"/>
        <c:axId val="756184248"/>
      </c:radarChart>
      <c:catAx>
        <c:axId val="7561831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56184248"/>
        <c:crosses val="autoZero"/>
        <c:auto val="1"/>
        <c:lblAlgn val="ctr"/>
        <c:lblOffset val="100"/>
        <c:noMultiLvlLbl val="0"/>
      </c:catAx>
      <c:valAx>
        <c:axId val="75618424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one"/>
        <c:spPr>
          <a:noFill/>
          <a:ln>
            <a:solidFill>
              <a:schemeClr val="tx1">
                <a:lumMod val="15000"/>
                <a:lumOff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561831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18</xdr:col>
      <xdr:colOff>180975</xdr:colOff>
      <xdr:row>53</xdr:row>
      <xdr:rowOff>0</xdr:rowOff>
    </xdr:from>
    <xdr:to>
      <xdr:col>23</xdr:col>
      <xdr:colOff>0</xdr:colOff>
      <xdr:row>55</xdr:row>
      <xdr:rowOff>0</xdr:rowOff>
    </xdr:to>
    <xdr:pic>
      <xdr:nvPicPr>
        <xdr:cNvPr id="152581" name="Billede 15">
          <a:extLst>
            <a:ext uri="{FF2B5EF4-FFF2-40B4-BE49-F238E27FC236}">
              <a16:creationId xmlns:a16="http://schemas.microsoft.com/office/drawing/2014/main" id="{E171D7FE-2DF4-4FC7-FC52-16883F1B12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0125" y="7896225"/>
          <a:ext cx="11049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xdr:colOff>
      <xdr:row>23</xdr:row>
      <xdr:rowOff>0</xdr:rowOff>
    </xdr:from>
    <xdr:to>
      <xdr:col>23</xdr:col>
      <xdr:colOff>0</xdr:colOff>
      <xdr:row>50</xdr:row>
      <xdr:rowOff>0</xdr:rowOff>
    </xdr:to>
    <xdr:sp macro="" textlink="">
      <xdr:nvSpPr>
        <xdr:cNvPr id="5" name="Tekstfelt 4">
          <a:extLst>
            <a:ext uri="{FF2B5EF4-FFF2-40B4-BE49-F238E27FC236}">
              <a16:creationId xmlns:a16="http://schemas.microsoft.com/office/drawing/2014/main" id="{7C54F907-6C0C-03F8-1E78-D0867908E309}"/>
            </a:ext>
          </a:extLst>
        </xdr:cNvPr>
        <xdr:cNvSpPr txBox="1"/>
      </xdr:nvSpPr>
      <xdr:spPr>
        <a:xfrm>
          <a:off x="247651" y="3819525"/>
          <a:ext cx="5448299" cy="4371975"/>
        </a:xfrm>
        <a:prstGeom prst="rect">
          <a:avLst/>
        </a:prstGeom>
        <a:solidFill>
          <a:sysClr val="window" lastClr="FFFFFF"/>
        </a:solidFill>
        <a:ln w="9525" cmpd="sng">
          <a:solidFill>
            <a:srgbClr val="B8B8B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latin typeface="Mari" panose="020B0506040000020004" pitchFamily="34" charset="0"/>
            </a:rPr>
            <a:t>Hvad er MFI-20?</a:t>
          </a:r>
        </a:p>
        <a:p>
          <a:pPr algn="l"/>
          <a:r>
            <a:rPr lang="en-US" sz="1100">
              <a:latin typeface="Mari Light" panose="020B0506040000020004" pitchFamily="34" charset="0"/>
            </a:rPr>
            <a:t>MFI-20 er et spørgeskema</a:t>
          </a:r>
          <a:r>
            <a:rPr lang="en-US" sz="1100" baseline="0">
              <a:latin typeface="Mari Light" panose="020B0506040000020004" pitchFamily="34" charset="0"/>
            </a:rPr>
            <a:t> med 20 spørgsmål, der er udviklet til at måle forskellige aspekter af træthed, herunder generel træthed, mental træthed, fysisk træthed, reduceret aktivitet og reduceret motivation. Du kan downloade spørgeskemaet samt en brugervejledning på www.vnr.dk.</a:t>
          </a:r>
        </a:p>
        <a:p>
          <a:pPr algn="l"/>
          <a:endParaRPr lang="en-US" sz="1100">
            <a:latin typeface="Mari Book" panose="020B0000000000000000" pitchFamily="34" charset="0"/>
          </a:endParaRPr>
        </a:p>
        <a:p>
          <a:pPr algn="l"/>
          <a:r>
            <a:rPr lang="en-US" sz="1100">
              <a:latin typeface="Mari" panose="020B0506040000020004" pitchFamily="34" charset="0"/>
            </a:rPr>
            <a:t>1) Scoringsværktøj: Opgør</a:t>
          </a:r>
          <a:r>
            <a:rPr lang="en-US" sz="1100" baseline="0">
              <a:latin typeface="Mari" panose="020B0506040000020004" pitchFamily="34" charset="0"/>
            </a:rPr>
            <a:t> testresultaterne</a:t>
          </a:r>
          <a:endParaRPr lang="en-US" sz="1100">
            <a:latin typeface="Mari" panose="020B0506040000020004" pitchFamily="34" charset="0"/>
          </a:endParaRPr>
        </a:p>
        <a:p>
          <a:pPr algn="l"/>
          <a:r>
            <a:rPr lang="en-US" sz="1100" baseline="0">
              <a:latin typeface="Mari Light" panose="020B0506040000020004" pitchFamily="34" charset="0"/>
            </a:rPr>
            <a:t>Scoringsværktøjet opgør automatisk testresultaterne ud fra testpersonens svar på spørgeskemaet. Tast svarene ind for hvert spørgsmål. Herefter beregnes råscorer for de fem subskalaer.</a:t>
          </a:r>
          <a:endParaRPr lang="en-US" sz="1100" baseline="0">
            <a:latin typeface="Mari Office Book" panose="020B0506040000020004" pitchFamily="34" charset="0"/>
          </a:endParaRPr>
        </a:p>
        <a:p>
          <a:pPr algn="l"/>
          <a:endParaRPr lang="en-US" sz="1100">
            <a:latin typeface="Mari Office" panose="020B0506040000020004" pitchFamily="34" charset="0"/>
          </a:endParaRPr>
        </a:p>
        <a:p>
          <a:pPr algn="l"/>
          <a:r>
            <a:rPr lang="en-US" sz="1100">
              <a:latin typeface="Mari" panose="020B0506040000020004" pitchFamily="34" charset="0"/>
            </a:rPr>
            <a:t>2) Referencedata:</a:t>
          </a:r>
          <a:r>
            <a:rPr lang="en-US" sz="1100" baseline="0">
              <a:latin typeface="Mari" panose="020B0506040000020004" pitchFamily="34" charset="0"/>
            </a:rPr>
            <a:t> </a:t>
          </a:r>
          <a:r>
            <a:rPr lang="en-US" sz="1100">
              <a:latin typeface="Mari" panose="020B0506040000020004" pitchFamily="34" charset="0"/>
            </a:rPr>
            <a:t>Vurdering af testresultaterne</a:t>
          </a:r>
        </a:p>
        <a:p>
          <a:pPr algn="l"/>
          <a:r>
            <a:rPr lang="en-US" sz="1100" baseline="0">
              <a:latin typeface="Mari Light" panose="020B0506040000020004" pitchFamily="34" charset="0"/>
            </a:rPr>
            <a:t>Testresultaterne sammenholdes med en referencegruppe for at give et billede af, hvordan testpersonen har svaret i forhold til andre. Denne information kan bruges til at vurdere sværhedsgraden af træthed. Programmet har et referencemateriale på et udsnit af den danske befolkning fra år 2000, som er stillet til rådighed af Torquil Watt til dette formål.</a:t>
          </a:r>
        </a:p>
        <a:p>
          <a:pPr algn="l"/>
          <a:endParaRPr lang="en-US" sz="1100" baseline="0">
            <a:latin typeface="Mari Light" panose="020B0506040000020004" pitchFamily="34" charset="0"/>
          </a:endParaRPr>
        </a:p>
        <a:p>
          <a:pPr algn="l"/>
          <a:r>
            <a:rPr lang="en-US" sz="1100" baseline="0">
              <a:latin typeface="Mari Light" panose="020B0506040000020004" pitchFamily="34" charset="0"/>
            </a:rPr>
            <a:t>Hvis du oplyser testpersonens køn og/eller alder, vil programmet sammenligne med personer i referencegruppen af samme køn og/eller alder.</a:t>
          </a:r>
        </a:p>
        <a:p>
          <a:pPr algn="l"/>
          <a:endParaRPr lang="en-US" sz="1100" baseline="0">
            <a:latin typeface="Mari Light" panose="020B0506040000020004" pitchFamily="34" charset="0"/>
          </a:endParaRPr>
        </a:p>
        <a:p>
          <a:pPr algn="l"/>
          <a:r>
            <a:rPr lang="en-US" sz="1100" baseline="0">
              <a:latin typeface="Mari" panose="020B0506040000020004" pitchFamily="34" charset="0"/>
            </a:rPr>
            <a:t>3) Datagrundlag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ari Light" panose="020B0506040000020004" pitchFamily="34" charset="0"/>
              <a:ea typeface="+mn-ea"/>
              <a:cs typeface="+mn-cs"/>
            </a:rPr>
            <a:t>Her kan du finde informationer om referencegruppen og dens demografiske baggrund. Du kan også læse om, hvordan sammenlignerne beregnes.</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ari Light" panose="020B0506040000020004" pitchFamily="34" charset="0"/>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ari" panose="020B0506040000020004" pitchFamily="34" charset="0"/>
              <a:ea typeface="+mn-ea"/>
              <a:cs typeface="+mn-cs"/>
            </a:rPr>
            <a:t>Har du brug for hjælp?</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ari Light" panose="020B0506040000020004" pitchFamily="34" charset="0"/>
            </a:rPr>
            <a:t>Du</a:t>
          </a:r>
          <a:r>
            <a:rPr lang="en-US" sz="1100" baseline="0">
              <a:latin typeface="Mari Light" panose="020B0506040000020004" pitchFamily="34" charset="0"/>
            </a:rPr>
            <a:t> kan finde flere informationer om MFI-20 på www.vnr.dk. Du er meget velkommen til at kontakte Videnscenter for Neurorehabilitering, hvis du har spørgsmål og kommentarer eller hvis du har brug for hjælp til, hvordan man anvender spørgeskemaet eller scoringsprogrammet.</a:t>
          </a:r>
          <a:endParaRPr lang="en-US" sz="1100">
            <a:latin typeface="Mari Light" panose="020B0506040000020004" pitchFamily="34" charset="0"/>
          </a:endParaRPr>
        </a:p>
      </xdr:txBody>
    </xdr:sp>
    <xdr:clientData/>
  </xdr:twoCellAnchor>
  <xdr:twoCellAnchor>
    <xdr:from>
      <xdr:col>1</xdr:col>
      <xdr:colOff>0</xdr:colOff>
      <xdr:row>9</xdr:row>
      <xdr:rowOff>0</xdr:rowOff>
    </xdr:from>
    <xdr:to>
      <xdr:col>22</xdr:col>
      <xdr:colOff>247649</xdr:colOff>
      <xdr:row>15</xdr:row>
      <xdr:rowOff>0</xdr:rowOff>
    </xdr:to>
    <xdr:sp macro="" textlink="">
      <xdr:nvSpPr>
        <xdr:cNvPr id="4" name="Tekstfelt 3">
          <a:extLst>
            <a:ext uri="{FF2B5EF4-FFF2-40B4-BE49-F238E27FC236}">
              <a16:creationId xmlns:a16="http://schemas.microsoft.com/office/drawing/2014/main" id="{2884E3EF-7152-4352-B932-0A85CD8906B4}"/>
            </a:ext>
          </a:extLst>
        </xdr:cNvPr>
        <xdr:cNvSpPr txBox="1"/>
      </xdr:nvSpPr>
      <xdr:spPr>
        <a:xfrm>
          <a:off x="247650" y="1457325"/>
          <a:ext cx="5448299" cy="971550"/>
        </a:xfrm>
        <a:prstGeom prst="rect">
          <a:avLst/>
        </a:prstGeom>
        <a:solidFill>
          <a:sysClr val="window" lastClr="FFFFFF"/>
        </a:solidFill>
        <a:ln w="9525" cmpd="sng">
          <a:solidFill>
            <a:srgbClr val="B8B8B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Mari" panose="020B0506040000020004" pitchFamily="34" charset="0"/>
            </a:rPr>
            <a:t>Velkommen</a:t>
          </a:r>
        </a:p>
        <a:p>
          <a:pPr algn="l"/>
          <a:endParaRPr lang="en-US" sz="1100">
            <a:latin typeface="Mari Book" panose="020B0000000000000000" pitchFamily="34" charset="0"/>
          </a:endParaRPr>
        </a:p>
        <a:p>
          <a:pPr algn="l"/>
          <a:r>
            <a:rPr lang="en-US" sz="1100">
              <a:latin typeface="Mari Light" panose="020B0506040000020004" pitchFamily="34" charset="0"/>
            </a:rPr>
            <a:t>Scoringsprogrammet tilbyder</a:t>
          </a:r>
          <a:r>
            <a:rPr lang="en-US" sz="1100" baseline="0">
              <a:latin typeface="Mari Light" panose="020B0506040000020004" pitchFamily="34" charset="0"/>
            </a:rPr>
            <a:t> en nem og korrekt scoring af testresultaterne på spørgeskemaet Multidimensional Fatigue Inventory (MFI-20) til brug i klinisk praksis. Læs mere om programmets funktioner nedenfor. Du kan navigere ved hjælp af fanebladene eller indholdsoversigten.</a:t>
          </a:r>
        </a:p>
      </xdr:txBody>
    </xdr:sp>
    <xdr:clientData/>
  </xdr:twoCellAnchor>
  <xdr:twoCellAnchor>
    <xdr:from>
      <xdr:col>2</xdr:col>
      <xdr:colOff>19050</xdr:colOff>
      <xdr:row>5</xdr:row>
      <xdr:rowOff>9525</xdr:rowOff>
    </xdr:from>
    <xdr:to>
      <xdr:col>21</xdr:col>
      <xdr:colOff>238125</xdr:colOff>
      <xdr:row>6</xdr:row>
      <xdr:rowOff>152399</xdr:rowOff>
    </xdr:to>
    <xdr:sp macro="" textlink="">
      <xdr:nvSpPr>
        <xdr:cNvPr id="6" name="Tekstfelt 5">
          <a:extLst>
            <a:ext uri="{FF2B5EF4-FFF2-40B4-BE49-F238E27FC236}">
              <a16:creationId xmlns:a16="http://schemas.microsoft.com/office/drawing/2014/main" id="{5E62BCE0-EC4A-44A7-967E-4ED210E6225F}"/>
            </a:ext>
          </a:extLst>
        </xdr:cNvPr>
        <xdr:cNvSpPr txBox="1"/>
      </xdr:nvSpPr>
      <xdr:spPr>
        <a:xfrm>
          <a:off x="514350" y="819150"/>
          <a:ext cx="4924425" cy="304799"/>
        </a:xfrm>
        <a:prstGeom prst="roundRect">
          <a:avLst/>
        </a:prstGeom>
        <a:solidFill>
          <a:schemeClr val="bg2"/>
        </a:solidFill>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en-US" sz="1100">
              <a:latin typeface="Mari" panose="020B0506040000020004" pitchFamily="34" charset="0"/>
            </a:rPr>
            <a:t>Forside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14288</xdr:colOff>
      <xdr:row>5</xdr:row>
      <xdr:rowOff>9525</xdr:rowOff>
    </xdr:from>
    <xdr:to>
      <xdr:col>21</xdr:col>
      <xdr:colOff>233363</xdr:colOff>
      <xdr:row>6</xdr:row>
      <xdr:rowOff>152399</xdr:rowOff>
    </xdr:to>
    <xdr:sp macro="" textlink="">
      <xdr:nvSpPr>
        <xdr:cNvPr id="2" name="Tekstfelt 1">
          <a:extLst>
            <a:ext uri="{FF2B5EF4-FFF2-40B4-BE49-F238E27FC236}">
              <a16:creationId xmlns:a16="http://schemas.microsoft.com/office/drawing/2014/main" id="{609576D9-341E-11A8-5309-BDD054C9CDBB}"/>
            </a:ext>
          </a:extLst>
        </xdr:cNvPr>
        <xdr:cNvSpPr txBox="1"/>
      </xdr:nvSpPr>
      <xdr:spPr>
        <a:xfrm>
          <a:off x="509588" y="819150"/>
          <a:ext cx="4924425" cy="304799"/>
        </a:xfrm>
        <a:prstGeom prst="roundRect">
          <a:avLst/>
        </a:prstGeom>
        <a:solidFill>
          <a:schemeClr val="tx2"/>
        </a:solidFill>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en-US" sz="1100">
              <a:solidFill>
                <a:schemeClr val="bg1"/>
              </a:solidFill>
              <a:latin typeface="Mari" panose="020B0506040000020004" pitchFamily="34" charset="0"/>
            </a:rPr>
            <a:t>1) Scoringsværktøj</a:t>
          </a:r>
        </a:p>
      </xdr:txBody>
    </xdr:sp>
    <xdr:clientData/>
  </xdr:twoCellAnchor>
  <xdr:oneCellAnchor>
    <xdr:from>
      <xdr:col>10</xdr:col>
      <xdr:colOff>0</xdr:colOff>
      <xdr:row>29</xdr:row>
      <xdr:rowOff>0</xdr:rowOff>
    </xdr:from>
    <xdr:ext cx="3219451" cy="971550"/>
    <xdr:sp macro="" textlink="">
      <xdr:nvSpPr>
        <xdr:cNvPr id="16" name="Tekstfelt 15">
          <a:extLst>
            <a:ext uri="{FF2B5EF4-FFF2-40B4-BE49-F238E27FC236}">
              <a16:creationId xmlns:a16="http://schemas.microsoft.com/office/drawing/2014/main" id="{79EA9447-B8ED-453D-BCF2-376449A736CE}"/>
            </a:ext>
          </a:extLst>
        </xdr:cNvPr>
        <xdr:cNvSpPr txBox="1"/>
      </xdr:nvSpPr>
      <xdr:spPr>
        <a:xfrm>
          <a:off x="2476500" y="4829175"/>
          <a:ext cx="3219451" cy="971550"/>
        </a:xfrm>
        <a:prstGeom prst="rect">
          <a:avLst/>
        </a:prstGeom>
        <a:solidFill>
          <a:sysClr val="window" lastClr="FFFFFF"/>
        </a:solidFill>
        <a:ln>
          <a:solidFill>
            <a:srgbClr val="B8B8B8"/>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b="0" i="0" u="none" strike="noStrike">
            <a:solidFill>
              <a:srgbClr val="000000"/>
            </a:solidFill>
            <a:latin typeface="Mari" panose="020B0506040000020004" pitchFamily="34" charset="0"/>
            <a:cs typeface="Arial"/>
          </a:endParaRPr>
        </a:p>
        <a:p>
          <a:endParaRPr lang="en-US" sz="1100" b="0" i="0" u="none" strike="noStrike">
            <a:solidFill>
              <a:srgbClr val="000000"/>
            </a:solidFill>
            <a:latin typeface="Mari Light" panose="020B0506040000020004" pitchFamily="34" charset="0"/>
            <a:cs typeface="Arial"/>
          </a:endParaRPr>
        </a:p>
        <a:p>
          <a:r>
            <a:rPr lang="en-US" sz="1100" b="0" i="0" u="none" strike="noStrike">
              <a:solidFill>
                <a:srgbClr val="000000"/>
              </a:solidFill>
              <a:latin typeface="Mari Light" panose="020B0506040000020004" pitchFamily="34" charset="0"/>
              <a:cs typeface="Arial"/>
            </a:rPr>
            <a:t>En</a:t>
          </a:r>
          <a:r>
            <a:rPr lang="en-US" sz="1100" b="0" i="0" u="none" strike="noStrike" baseline="0">
              <a:solidFill>
                <a:srgbClr val="000000"/>
              </a:solidFill>
              <a:latin typeface="Mari Light" panose="020B0506040000020004" pitchFamily="34" charset="0"/>
              <a:cs typeface="Arial"/>
            </a:rPr>
            <a:t> højere råscore indikerer sværere grad af træthed. Råscores rangerer fra 4 (minimum) til 20 (maksimum). Graden af træthed kan vurderes ved at sammenligne resultaterne med referencedata.</a:t>
          </a:r>
        </a:p>
      </xdr:txBody>
    </xdr:sp>
    <xdr:clientData/>
  </xdr:oneCellAnchor>
  <xdr:twoCellAnchor>
    <xdr:from>
      <xdr:col>11</xdr:col>
      <xdr:colOff>0</xdr:colOff>
      <xdr:row>28</xdr:row>
      <xdr:rowOff>0</xdr:rowOff>
    </xdr:from>
    <xdr:to>
      <xdr:col>16</xdr:col>
      <xdr:colOff>85725</xdr:colOff>
      <xdr:row>29</xdr:row>
      <xdr:rowOff>142875</xdr:rowOff>
    </xdr:to>
    <xdr:sp macro="" textlink="">
      <xdr:nvSpPr>
        <xdr:cNvPr id="14" name="Tekstfelt 13">
          <a:extLst>
            <a:ext uri="{FF2B5EF4-FFF2-40B4-BE49-F238E27FC236}">
              <a16:creationId xmlns:a16="http://schemas.microsoft.com/office/drawing/2014/main" id="{F546831E-9F5C-49F9-94C6-447722A599BB}"/>
            </a:ext>
          </a:extLst>
        </xdr:cNvPr>
        <xdr:cNvSpPr txBox="1"/>
      </xdr:nvSpPr>
      <xdr:spPr>
        <a:xfrm>
          <a:off x="2724150" y="4667250"/>
          <a:ext cx="1323975" cy="304800"/>
        </a:xfrm>
        <a:prstGeom prst="roundRect">
          <a:avLst/>
        </a:prstGeom>
        <a:solidFill>
          <a:schemeClr val="bg2"/>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lang="en-US" sz="1100">
              <a:latin typeface="Mari" panose="020B0506040000020004" pitchFamily="34" charset="0"/>
            </a:rPr>
            <a:t>Forklaring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20</xdr:row>
      <xdr:rowOff>0</xdr:rowOff>
    </xdr:from>
    <xdr:to>
      <xdr:col>18</xdr:col>
      <xdr:colOff>152400</xdr:colOff>
      <xdr:row>36</xdr:row>
      <xdr:rowOff>19050</xdr:rowOff>
    </xdr:to>
    <xdr:graphicFrame macro="">
      <xdr:nvGraphicFramePr>
        <xdr:cNvPr id="139307" name="Diagram 3">
          <a:extLst>
            <a:ext uri="{FF2B5EF4-FFF2-40B4-BE49-F238E27FC236}">
              <a16:creationId xmlns:a16="http://schemas.microsoft.com/office/drawing/2014/main" id="{A185112D-1B48-5DF4-9B84-2B0F27A7400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19050</xdr:colOff>
      <xdr:row>5</xdr:row>
      <xdr:rowOff>9525</xdr:rowOff>
    </xdr:from>
    <xdr:to>
      <xdr:col>21</xdr:col>
      <xdr:colOff>238125</xdr:colOff>
      <xdr:row>6</xdr:row>
      <xdr:rowOff>152399</xdr:rowOff>
    </xdr:to>
    <xdr:sp macro="" textlink="">
      <xdr:nvSpPr>
        <xdr:cNvPr id="4" name="Tekstfelt 3">
          <a:extLst>
            <a:ext uri="{FF2B5EF4-FFF2-40B4-BE49-F238E27FC236}">
              <a16:creationId xmlns:a16="http://schemas.microsoft.com/office/drawing/2014/main" id="{C013E736-1A40-49CF-B3F0-681CE6714F3E}"/>
            </a:ext>
          </a:extLst>
        </xdr:cNvPr>
        <xdr:cNvSpPr txBox="1"/>
      </xdr:nvSpPr>
      <xdr:spPr>
        <a:xfrm>
          <a:off x="514350" y="819150"/>
          <a:ext cx="4924425" cy="304799"/>
        </a:xfrm>
        <a:prstGeom prst="roundRect">
          <a:avLst/>
        </a:prstGeom>
        <a:solidFill>
          <a:schemeClr val="accent3"/>
        </a:solidFill>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en-US" sz="1100">
              <a:latin typeface="Mari" panose="020B0506040000020004" pitchFamily="34" charset="0"/>
            </a:rPr>
            <a:t>2) Referencedata</a:t>
          </a:r>
        </a:p>
      </xdr:txBody>
    </xdr:sp>
    <xdr:clientData/>
  </xdr:twoCellAnchor>
  <xdr:oneCellAnchor>
    <xdr:from>
      <xdr:col>18</xdr:col>
      <xdr:colOff>161924</xdr:colOff>
      <xdr:row>26</xdr:row>
      <xdr:rowOff>123825</xdr:rowOff>
    </xdr:from>
    <xdr:ext cx="1322475" cy="576000"/>
    <xdr:sp macro="" textlink="kurver!O7">
      <xdr:nvSpPr>
        <xdr:cNvPr id="14" name="Tekstfelt 13">
          <a:extLst>
            <a:ext uri="{FF2B5EF4-FFF2-40B4-BE49-F238E27FC236}">
              <a16:creationId xmlns:a16="http://schemas.microsoft.com/office/drawing/2014/main" id="{849D27D4-4CF3-4803-854C-DDB6C58E967F}"/>
            </a:ext>
          </a:extLst>
        </xdr:cNvPr>
        <xdr:cNvSpPr txBox="1"/>
      </xdr:nvSpPr>
      <xdr:spPr>
        <a:xfrm>
          <a:off x="4619624" y="4762500"/>
          <a:ext cx="1322475" cy="576000"/>
        </a:xfrm>
        <a:prstGeom prst="roundRect">
          <a:avLst/>
        </a:prstGeom>
        <a:solidFill>
          <a:schemeClr val="accent3"/>
        </a:solidFill>
        <a:ln>
          <a:solidFill>
            <a:srgbClr val="B8B8B8"/>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E49D54A2-C7A9-4958-A8A6-62D3FFD5FE2D}" type="TxLink">
            <a:rPr lang="en-US" sz="1000" b="0" i="0" u="none" strike="noStrike">
              <a:solidFill>
                <a:srgbClr val="000000"/>
              </a:solidFill>
              <a:latin typeface="Mari Light" panose="020B0506040000020004" pitchFamily="34" charset="0"/>
              <a:cs typeface="Arial"/>
            </a:rPr>
            <a:pPr/>
            <a:t>Indtast testresultatet ovenfor</a:t>
          </a:fld>
          <a:endParaRPr lang="en-US" sz="1100">
            <a:latin typeface="Mari Light" panose="020B0506040000020004" pitchFamily="34" charset="0"/>
          </a:endParaRPr>
        </a:p>
      </xdr:txBody>
    </xdr:sp>
    <xdr:clientData/>
  </xdr:oneCellAnchor>
  <xdr:oneCellAnchor>
    <xdr:from>
      <xdr:col>18</xdr:col>
      <xdr:colOff>161936</xdr:colOff>
      <xdr:row>31</xdr:row>
      <xdr:rowOff>19049</xdr:rowOff>
    </xdr:from>
    <xdr:ext cx="1323964" cy="576000"/>
    <xdr:sp macro="" textlink="kurver!O8">
      <xdr:nvSpPr>
        <xdr:cNvPr id="17" name="Tekstfelt 16">
          <a:extLst>
            <a:ext uri="{FF2B5EF4-FFF2-40B4-BE49-F238E27FC236}">
              <a16:creationId xmlns:a16="http://schemas.microsoft.com/office/drawing/2014/main" id="{35EB4106-6E31-4A35-A27A-1D3E8FD67033}"/>
            </a:ext>
          </a:extLst>
        </xdr:cNvPr>
        <xdr:cNvSpPr txBox="1"/>
      </xdr:nvSpPr>
      <xdr:spPr>
        <a:xfrm>
          <a:off x="4619636" y="5791199"/>
          <a:ext cx="1323964" cy="576000"/>
        </a:xfrm>
        <a:prstGeom prst="roundRect">
          <a:avLst/>
        </a:prstGeom>
        <a:solidFill>
          <a:schemeClr val="bg2"/>
        </a:solidFill>
        <a:ln>
          <a:solidFill>
            <a:srgbClr val="B8B8B8"/>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9071AFA4-C2CA-4B07-9041-59401646C07B}" type="TxLink">
            <a:rPr lang="en-US" sz="1000" b="0" i="0" u="none" strike="noStrike">
              <a:solidFill>
                <a:srgbClr val="000000"/>
              </a:solidFill>
              <a:latin typeface="Mari Light" panose="020B0506040000020004" pitchFamily="34" charset="0"/>
              <a:cs typeface="Arial"/>
            </a:rPr>
            <a:pPr/>
            <a:t>Indtast testresultatet ovenfor</a:t>
          </a:fld>
          <a:endParaRPr lang="en-US" sz="1100">
            <a:latin typeface="Mari Light" panose="020B0506040000020004" pitchFamily="34" charset="0"/>
          </a:endParaRPr>
        </a:p>
      </xdr:txBody>
    </xdr:sp>
    <xdr:clientData/>
  </xdr:oneCellAnchor>
  <xdr:oneCellAnchor>
    <xdr:from>
      <xdr:col>1</xdr:col>
      <xdr:colOff>0</xdr:colOff>
      <xdr:row>54</xdr:row>
      <xdr:rowOff>161923</xdr:rowOff>
    </xdr:from>
    <xdr:ext cx="5448300" cy="6962778"/>
    <xdr:sp macro="" textlink="">
      <xdr:nvSpPr>
        <xdr:cNvPr id="18" name="Tekstfelt 17">
          <a:extLst>
            <a:ext uri="{FF2B5EF4-FFF2-40B4-BE49-F238E27FC236}">
              <a16:creationId xmlns:a16="http://schemas.microsoft.com/office/drawing/2014/main" id="{3408B125-0716-475B-891C-B2BF4CB2A9F1}"/>
            </a:ext>
          </a:extLst>
        </xdr:cNvPr>
        <xdr:cNvSpPr txBox="1"/>
      </xdr:nvSpPr>
      <xdr:spPr>
        <a:xfrm>
          <a:off x="247650" y="6257923"/>
          <a:ext cx="5448300" cy="6962778"/>
        </a:xfrm>
        <a:prstGeom prst="rect">
          <a:avLst/>
        </a:prstGeom>
        <a:solidFill>
          <a:sysClr val="window" lastClr="FFFFFF"/>
        </a:solidFill>
        <a:ln>
          <a:solidFill>
            <a:srgbClr val="B8B8B8"/>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b="0" i="0" u="none" strike="noStrike">
            <a:solidFill>
              <a:srgbClr val="000000"/>
            </a:solidFill>
            <a:latin typeface="Mari" panose="020B0506040000020004" pitchFamily="34" charset="0"/>
            <a:cs typeface="Arial"/>
          </a:endParaRPr>
        </a:p>
        <a:p>
          <a:endParaRPr lang="en-US" sz="1100" b="0" i="0" u="none" strike="noStrike">
            <a:solidFill>
              <a:srgbClr val="000000"/>
            </a:solidFill>
            <a:latin typeface="Mari Light" panose="020B0506040000020004" pitchFamily="34" charset="0"/>
            <a:cs typeface="Arial"/>
          </a:endParaRPr>
        </a:p>
        <a:p>
          <a:r>
            <a:rPr lang="en-US" sz="1100" b="0" i="0" u="none" strike="noStrike">
              <a:solidFill>
                <a:srgbClr val="000000"/>
              </a:solidFill>
              <a:latin typeface="Mari" panose="020B0506040000020004" pitchFamily="34" charset="0"/>
              <a:cs typeface="Arial"/>
            </a:rPr>
            <a:t>Hvad viser kurvegrafen (Graf 1)?</a:t>
          </a:r>
        </a:p>
        <a:p>
          <a:r>
            <a:rPr lang="en-US" sz="1100" b="0" i="0" u="none" strike="noStrike">
              <a:solidFill>
                <a:srgbClr val="000000"/>
              </a:solidFill>
              <a:latin typeface="Mari Light" panose="020B0506040000020004" pitchFamily="34" charset="0"/>
              <a:cs typeface="Arial"/>
            </a:rPr>
            <a:t>I kurvegrafen kan du aflæse om testresultatet ligger lavt, midt eller højt </a:t>
          </a:r>
          <a:r>
            <a:rPr lang="en-US" sz="1100" b="0" i="0" u="none" strike="noStrike" baseline="0">
              <a:solidFill>
                <a:srgbClr val="000000"/>
              </a:solidFill>
              <a:latin typeface="Mari Light" panose="020B0506040000020004" pitchFamily="34" charset="0"/>
              <a:cs typeface="Arial"/>
            </a:rPr>
            <a:t>i forhold til data for den danske befolkning. Du kan vælge at justere for køn og/eller alder.</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Light" panose="020B0506040000020004" pitchFamily="34" charset="0"/>
              <a:cs typeface="Arial"/>
            </a:rPr>
            <a:t>Kurven viser en model for hvordan testresultaterne fordeler sig i referencegruppen. Testpersonens råscore markeres med en lodret streg i fordelingen. Det lyserøde område viser hvor stor en andel af referencegruppen, der scorer under eller lig med testpersonens resultat, og det beige område viser hvor stor en andel, der scorer over testpersonens resultat. Over grafen kan du aflæse percentilen for testresultatet.</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panose="020B0506040000020004" pitchFamily="34" charset="0"/>
              <a:cs typeface="Arial"/>
            </a:rPr>
            <a:t>Hvad viser træthedsprofilen (Graf 2)?</a:t>
          </a:r>
        </a:p>
        <a:p>
          <a:r>
            <a:rPr lang="en-US" sz="1100" b="0" i="0" u="none" strike="noStrike" baseline="0">
              <a:solidFill>
                <a:srgbClr val="000000"/>
              </a:solidFill>
              <a:latin typeface="Mari Light" panose="020B0506040000020004" pitchFamily="34" charset="0"/>
              <a:cs typeface="Arial"/>
            </a:rPr>
            <a:t>I træthedsprofilen kan du få et overblik over forskellige aspekter af træthed. Grafen viser testresultaterne på de fem underskalaer i form af percentiler. Jo større arealet er, desto højere har testpersonen scoret i forhold til referencegruppen.</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panose="020B0506040000020004" pitchFamily="34" charset="0"/>
              <a:cs typeface="Arial"/>
            </a:rPr>
            <a:t>Hvad er en percentil?</a:t>
          </a:r>
        </a:p>
        <a:p>
          <a:r>
            <a:rPr lang="en-US" sz="1100" b="0" i="0" u="none" strike="noStrike" baseline="0">
              <a:solidFill>
                <a:srgbClr val="000000"/>
              </a:solidFill>
              <a:latin typeface="Mari Light" panose="020B0506040000020004" pitchFamily="34" charset="0"/>
              <a:cs typeface="Arial"/>
            </a:rPr>
            <a:t>En percentil er et udtryk for, hvor mange procent af referencegruppen, der har scoret lavere end eller lig med testpersonen. Percentiler ligger mellem 1 og 100. En lav percentil (under 50) svarer til en score under middel, og en høj percentil (over 50) svarer til en score over middel. For eksempel betyder den 90. percentil, at scoren er højere end eller lig med 90% af referencegruppen. Percentiler skal ikke forveksles med procenter, da percentilen </a:t>
          </a:r>
          <a:r>
            <a:rPr lang="en-US" sz="1100" b="0" i="0" u="sng" strike="noStrike" baseline="0">
              <a:solidFill>
                <a:srgbClr val="000000"/>
              </a:solidFill>
              <a:latin typeface="Mari Light" panose="020B0506040000020004" pitchFamily="34" charset="0"/>
              <a:cs typeface="Arial"/>
            </a:rPr>
            <a:t>ikke</a:t>
          </a:r>
          <a:r>
            <a:rPr lang="en-US" sz="1100" b="0" i="0" u="none" strike="noStrike" baseline="0">
              <a:solidFill>
                <a:srgbClr val="000000"/>
              </a:solidFill>
              <a:latin typeface="Mari Light" panose="020B0506040000020004" pitchFamily="34" charset="0"/>
              <a:cs typeface="Arial"/>
            </a:rPr>
            <a:t> siger noget om, hvor mange procent testpersonen scorer højere end referencegruppen.</a:t>
          </a:r>
        </a:p>
        <a:p>
          <a:endParaRPr lang="en-US" sz="1100" b="0" i="0" u="none" strike="noStrike" baseline="0">
            <a:solidFill>
              <a:srgbClr val="000000"/>
            </a:solidFill>
            <a:latin typeface="Mari" panose="020B0506040000020004" pitchFamily="34" charset="0"/>
            <a:cs typeface="Arial"/>
          </a:endParaRPr>
        </a:p>
        <a:p>
          <a:r>
            <a:rPr lang="en-US" sz="1100" b="0" i="0" u="none" strike="noStrike" baseline="0">
              <a:solidFill>
                <a:srgbClr val="000000"/>
              </a:solidFill>
              <a:latin typeface="Mari" panose="020B0506040000020004" pitchFamily="34" charset="0"/>
              <a:cs typeface="Arial"/>
            </a:rPr>
            <a:t>Hvad vil det sige at justere for køn og alder?</a:t>
          </a:r>
        </a:p>
        <a:p>
          <a:r>
            <a:rPr lang="en-US" sz="1100" b="0" i="0" u="none" strike="noStrike" baseline="0">
              <a:solidFill>
                <a:srgbClr val="000000"/>
              </a:solidFill>
              <a:latin typeface="Mari Light" panose="020B0506040000020004" pitchFamily="34" charset="0"/>
              <a:cs typeface="Arial"/>
            </a:rPr>
            <a:t>Hvis du oplyser testpersonens køn eller alder, vil programmet sammenligne testresultaterne med personer i referencegruppen af samme køn og alder. På den måde undgår man at over- eller undervurdere f.eks. mænd og kvinder eller yngre og ældre, når der er køns- og alders-forskelle. Kurverne og percentilerne vil derfor ændre sig. Hvis du ikke oplyser køn eller alder, vil programmet beregne sammenligningerne uden at tage højde for køns- og aldersforskelle.</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panose="020B0506040000020004" pitchFamily="34" charset="0"/>
              <a:cs typeface="Arial"/>
            </a:rPr>
            <a:t>Eksempel 1</a:t>
          </a:r>
        </a:p>
        <a:p>
          <a:r>
            <a:rPr lang="en-US" sz="1100" b="0" i="0" u="none" strike="noStrike" baseline="0">
              <a:solidFill>
                <a:srgbClr val="000000"/>
              </a:solidFill>
              <a:latin typeface="Mari Light" panose="020B0506040000020004" pitchFamily="34" charset="0"/>
              <a:cs typeface="Arial"/>
            </a:rPr>
            <a:t>En mand på 33 år (testpersonen) har scoret 16 på General Fatigue. Råscoren svarer til det 95. percentil. Det vil sige, at testpersonen har scoret højere end eller lig med 95% af referencegruppen. Samtidig scorer 5% af referencegruppen højere end testpersonen. Testpersonen scorer altså højt på General Fatigue sammenlignet med andre mænd på hans alder i den danske befolkning.</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panose="020B0506040000020004" pitchFamily="34" charset="0"/>
              <a:cs typeface="Arial"/>
            </a:rPr>
            <a:t>Eksempel 2</a:t>
          </a:r>
        </a:p>
        <a:p>
          <a:r>
            <a:rPr lang="en-US" sz="1100" b="0" i="0" u="none" strike="noStrike" baseline="0">
              <a:solidFill>
                <a:srgbClr val="000000"/>
              </a:solidFill>
              <a:latin typeface="Mari Light" panose="020B0506040000020004" pitchFamily="34" charset="0"/>
              <a:cs typeface="Arial"/>
            </a:rPr>
            <a:t>En kvinde på 67 år (testpersonen) har scoret 6 på Mental Fatigue. Råscoren svarer til det 61. percentil, og testpersonen har altså scoret højere end eller lig med 61% af referencegruppen. Det betyder at hun scorer i midterområdet på Mental Fatigue i forhold til andre kvinder på hendes alder i den danske befolkning.</a:t>
          </a:r>
        </a:p>
      </xdr:txBody>
    </xdr:sp>
    <xdr:clientData/>
  </xdr:oneCellAnchor>
  <xdr:twoCellAnchor>
    <xdr:from>
      <xdr:col>2</xdr:col>
      <xdr:colOff>0</xdr:colOff>
      <xdr:row>54</xdr:row>
      <xdr:rowOff>0</xdr:rowOff>
    </xdr:from>
    <xdr:to>
      <xdr:col>7</xdr:col>
      <xdr:colOff>85725</xdr:colOff>
      <xdr:row>55</xdr:row>
      <xdr:rowOff>142875</xdr:rowOff>
    </xdr:to>
    <xdr:sp macro="" textlink="">
      <xdr:nvSpPr>
        <xdr:cNvPr id="19" name="Tekstfelt 18">
          <a:extLst>
            <a:ext uri="{FF2B5EF4-FFF2-40B4-BE49-F238E27FC236}">
              <a16:creationId xmlns:a16="http://schemas.microsoft.com/office/drawing/2014/main" id="{F9419E64-7AAE-4371-AA8A-16B55F00169C}"/>
            </a:ext>
          </a:extLst>
        </xdr:cNvPr>
        <xdr:cNvSpPr txBox="1"/>
      </xdr:nvSpPr>
      <xdr:spPr>
        <a:xfrm>
          <a:off x="495300" y="6905625"/>
          <a:ext cx="1323975" cy="304800"/>
        </a:xfrm>
        <a:prstGeom prst="roundRect">
          <a:avLst/>
        </a:prstGeom>
        <a:solidFill>
          <a:schemeClr val="bg2"/>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lang="en-US" sz="1100">
              <a:latin typeface="Mari" panose="020B0506040000020004" pitchFamily="34" charset="0"/>
            </a:rPr>
            <a:t>Forklaring</a:t>
          </a:r>
        </a:p>
      </xdr:txBody>
    </xdr:sp>
    <xdr:clientData/>
  </xdr:twoCellAnchor>
  <xdr:oneCellAnchor>
    <xdr:from>
      <xdr:col>0</xdr:col>
      <xdr:colOff>0</xdr:colOff>
      <xdr:row>20</xdr:row>
      <xdr:rowOff>0</xdr:rowOff>
    </xdr:from>
    <xdr:ext cx="2751667" cy="277064"/>
    <xdr:sp macro="" textlink="">
      <xdr:nvSpPr>
        <xdr:cNvPr id="7" name="Tekstfelt 6">
          <a:extLst>
            <a:ext uri="{FF2B5EF4-FFF2-40B4-BE49-F238E27FC236}">
              <a16:creationId xmlns:a16="http://schemas.microsoft.com/office/drawing/2014/main" id="{A61D1761-E151-4E9D-B200-0630FC55600A}"/>
            </a:ext>
          </a:extLst>
        </xdr:cNvPr>
        <xdr:cNvSpPr txBox="1"/>
      </xdr:nvSpPr>
      <xdr:spPr>
        <a:xfrm>
          <a:off x="0" y="3343275"/>
          <a:ext cx="2751667" cy="2770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400">
              <a:solidFill>
                <a:srgbClr val="595959"/>
              </a:solidFill>
              <a:latin typeface="Mari" panose="020B0506040000020004" pitchFamily="34" charset="0"/>
            </a:rPr>
            <a:t>Graf</a:t>
          </a:r>
          <a:r>
            <a:rPr lang="en-US" sz="1400" baseline="0">
              <a:solidFill>
                <a:srgbClr val="595959"/>
              </a:solidFill>
              <a:latin typeface="Mari" panose="020B0506040000020004" pitchFamily="34" charset="0"/>
            </a:rPr>
            <a:t> 1</a:t>
          </a:r>
          <a:endParaRPr lang="en-US" sz="1200">
            <a:solidFill>
              <a:srgbClr val="595959"/>
            </a:solidFill>
            <a:latin typeface="Mari" panose="020B0506040000020004" pitchFamily="34" charset="0"/>
          </a:endParaRPr>
        </a:p>
      </xdr:txBody>
    </xdr:sp>
    <xdr:clientData/>
  </xdr:oneCellAnchor>
  <xdr:twoCellAnchor>
    <xdr:from>
      <xdr:col>0</xdr:col>
      <xdr:colOff>0</xdr:colOff>
      <xdr:row>37</xdr:row>
      <xdr:rowOff>0</xdr:rowOff>
    </xdr:from>
    <xdr:to>
      <xdr:col>18</xdr:col>
      <xdr:colOff>114300</xdr:colOff>
      <xdr:row>53</xdr:row>
      <xdr:rowOff>152400</xdr:rowOff>
    </xdr:to>
    <xdr:graphicFrame macro="">
      <xdr:nvGraphicFramePr>
        <xdr:cNvPr id="2" name="Diagram 1">
          <a:extLst>
            <a:ext uri="{FF2B5EF4-FFF2-40B4-BE49-F238E27FC236}">
              <a16:creationId xmlns:a16="http://schemas.microsoft.com/office/drawing/2014/main" id="{E687727A-201B-4F74-8ECB-7E7387CBA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37</xdr:row>
      <xdr:rowOff>0</xdr:rowOff>
    </xdr:from>
    <xdr:ext cx="2751667" cy="277064"/>
    <xdr:sp macro="" textlink="">
      <xdr:nvSpPr>
        <xdr:cNvPr id="3" name="Tekstfelt 2">
          <a:extLst>
            <a:ext uri="{FF2B5EF4-FFF2-40B4-BE49-F238E27FC236}">
              <a16:creationId xmlns:a16="http://schemas.microsoft.com/office/drawing/2014/main" id="{DD11F939-E4B2-475C-B68C-863CF6630C97}"/>
            </a:ext>
          </a:extLst>
        </xdr:cNvPr>
        <xdr:cNvSpPr txBox="1"/>
      </xdr:nvSpPr>
      <xdr:spPr>
        <a:xfrm>
          <a:off x="0" y="6096000"/>
          <a:ext cx="2751667" cy="2770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1400">
              <a:solidFill>
                <a:srgbClr val="595959"/>
              </a:solidFill>
              <a:latin typeface="Mari" panose="020B0506040000020004" pitchFamily="34" charset="0"/>
            </a:rPr>
            <a:t>Graf</a:t>
          </a:r>
          <a:r>
            <a:rPr lang="en-US" sz="1400" baseline="0">
              <a:solidFill>
                <a:srgbClr val="595959"/>
              </a:solidFill>
              <a:latin typeface="Mari" panose="020B0506040000020004" pitchFamily="34" charset="0"/>
            </a:rPr>
            <a:t> 2</a:t>
          </a:r>
          <a:endParaRPr lang="en-US" sz="1200">
            <a:solidFill>
              <a:srgbClr val="595959"/>
            </a:solidFill>
            <a:latin typeface="Mari" panose="020B0506040000020004" pitchFamily="34" charset="0"/>
          </a:endParaRPr>
        </a:p>
      </xdr:txBody>
    </xdr:sp>
    <xdr:clientData/>
  </xdr:oneCellAnchor>
  <xdr:oneCellAnchor>
    <xdr:from>
      <xdr:col>18</xdr:col>
      <xdr:colOff>161925</xdr:colOff>
      <xdr:row>40</xdr:row>
      <xdr:rowOff>0</xdr:rowOff>
    </xdr:from>
    <xdr:ext cx="1323964" cy="1712388"/>
    <xdr:sp macro="" textlink="">
      <xdr:nvSpPr>
        <xdr:cNvPr id="9" name="Tekstfelt 8">
          <a:extLst>
            <a:ext uri="{FF2B5EF4-FFF2-40B4-BE49-F238E27FC236}">
              <a16:creationId xmlns:a16="http://schemas.microsoft.com/office/drawing/2014/main" id="{24466D26-5DC7-4376-A43A-F5BC7FEC2DC3}"/>
            </a:ext>
          </a:extLst>
        </xdr:cNvPr>
        <xdr:cNvSpPr txBox="1"/>
      </xdr:nvSpPr>
      <xdr:spPr>
        <a:xfrm>
          <a:off x="4619625" y="6581775"/>
          <a:ext cx="1323964" cy="1712388"/>
        </a:xfrm>
        <a:prstGeom prst="roundRect">
          <a:avLst/>
        </a:prstGeom>
        <a:solidFill>
          <a:schemeClr val="bg1"/>
        </a:solidFill>
        <a:ln>
          <a:solidFill>
            <a:srgbClr val="B8B8B8"/>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b="0" i="0" u="none" strike="noStrike">
              <a:solidFill>
                <a:srgbClr val="000000"/>
              </a:solidFill>
              <a:latin typeface="Mari Light" panose="020B0506040000020004" pitchFamily="34" charset="0"/>
              <a:cs typeface="Arial"/>
            </a:rPr>
            <a:t>Grafen viser test-resultaterne på de fem underskalaer</a:t>
          </a:r>
          <a:r>
            <a:rPr lang="en-US" sz="1000" b="0" i="0" u="none" strike="noStrike" baseline="0">
              <a:solidFill>
                <a:srgbClr val="000000"/>
              </a:solidFill>
              <a:latin typeface="Mari Light" panose="020B0506040000020004" pitchFamily="34" charset="0"/>
              <a:cs typeface="Arial"/>
            </a:rPr>
            <a:t> i form af percentiler.</a:t>
          </a:r>
        </a:p>
        <a:p>
          <a:endParaRPr lang="en-US" sz="1000" b="0" i="0" u="none" strike="noStrike">
            <a:solidFill>
              <a:srgbClr val="000000"/>
            </a:solidFill>
            <a:latin typeface="Mari Light" panose="020B0506040000020004" pitchFamily="34" charset="0"/>
            <a:cs typeface="Arial"/>
          </a:endParaRPr>
        </a:p>
        <a:p>
          <a:r>
            <a:rPr lang="en-US" sz="1000" b="0" i="0" u="none" strike="noStrike">
              <a:solidFill>
                <a:srgbClr val="000000"/>
              </a:solidFill>
              <a:latin typeface="Mari Light" panose="020B0506040000020004" pitchFamily="34" charset="0"/>
              <a:cs typeface="Arial"/>
            </a:rPr>
            <a:t>Skalaen går fra 1 (inderst) til 100 (yderst). Hvert interval herimellem svarer til 20 percentil-point.</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19050</xdr:colOff>
      <xdr:row>5</xdr:row>
      <xdr:rowOff>9525</xdr:rowOff>
    </xdr:from>
    <xdr:to>
      <xdr:col>21</xdr:col>
      <xdr:colOff>238125</xdr:colOff>
      <xdr:row>6</xdr:row>
      <xdr:rowOff>152399</xdr:rowOff>
    </xdr:to>
    <xdr:sp macro="" textlink="">
      <xdr:nvSpPr>
        <xdr:cNvPr id="3" name="Tekstfelt 2">
          <a:extLst>
            <a:ext uri="{FF2B5EF4-FFF2-40B4-BE49-F238E27FC236}">
              <a16:creationId xmlns:a16="http://schemas.microsoft.com/office/drawing/2014/main" id="{858D6D37-6DB1-4247-936B-32398C0FF69B}"/>
            </a:ext>
          </a:extLst>
        </xdr:cNvPr>
        <xdr:cNvSpPr txBox="1"/>
      </xdr:nvSpPr>
      <xdr:spPr>
        <a:xfrm>
          <a:off x="514350" y="819150"/>
          <a:ext cx="4924425" cy="304799"/>
        </a:xfrm>
        <a:prstGeom prst="roundRect">
          <a:avLst/>
        </a:prstGeom>
        <a:solidFill>
          <a:schemeClr val="bg2"/>
        </a:solidFill>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lang="en-US" sz="1100">
              <a:latin typeface="Mari" panose="020B0506040000020004" pitchFamily="34" charset="0"/>
            </a:rPr>
            <a:t>3) Datagrundlag</a:t>
          </a:r>
        </a:p>
      </xdr:txBody>
    </xdr:sp>
    <xdr:clientData/>
  </xdr:twoCellAnchor>
  <xdr:oneCellAnchor>
    <xdr:from>
      <xdr:col>1</xdr:col>
      <xdr:colOff>0</xdr:colOff>
      <xdr:row>9</xdr:row>
      <xdr:rowOff>161922</xdr:rowOff>
    </xdr:from>
    <xdr:ext cx="5448300" cy="6657978"/>
    <xdr:sp macro="" textlink="">
      <xdr:nvSpPr>
        <xdr:cNvPr id="5" name="Tekstfelt 4">
          <a:extLst>
            <a:ext uri="{FF2B5EF4-FFF2-40B4-BE49-F238E27FC236}">
              <a16:creationId xmlns:a16="http://schemas.microsoft.com/office/drawing/2014/main" id="{7EDF7D55-9C27-483F-8B62-3D5575FD8772}"/>
            </a:ext>
          </a:extLst>
        </xdr:cNvPr>
        <xdr:cNvSpPr txBox="1"/>
      </xdr:nvSpPr>
      <xdr:spPr>
        <a:xfrm>
          <a:off x="247650" y="1619247"/>
          <a:ext cx="5448300" cy="6657978"/>
        </a:xfrm>
        <a:prstGeom prst="rect">
          <a:avLst/>
        </a:prstGeom>
        <a:solidFill>
          <a:sysClr val="window" lastClr="FFFFFF"/>
        </a:solidFill>
        <a:ln>
          <a:solidFill>
            <a:srgbClr val="B8B8B8"/>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b="0" i="0" u="none" strike="noStrike">
            <a:solidFill>
              <a:srgbClr val="000000"/>
            </a:solidFill>
            <a:latin typeface="Mari" panose="020B0506040000020004" pitchFamily="34" charset="0"/>
            <a:cs typeface="Arial"/>
          </a:endParaRPr>
        </a:p>
        <a:p>
          <a:endParaRPr lang="en-US" sz="1100" b="0" i="0" u="none" strike="noStrike">
            <a:solidFill>
              <a:srgbClr val="000000"/>
            </a:solidFill>
            <a:latin typeface="Mari Light" panose="020B0506040000020004" pitchFamily="34" charset="0"/>
            <a:cs typeface="Arial"/>
          </a:endParaRPr>
        </a:p>
        <a:p>
          <a:r>
            <a:rPr lang="en-US" sz="1100" b="0" i="0" u="none" strike="noStrike">
              <a:solidFill>
                <a:srgbClr val="000000"/>
              </a:solidFill>
              <a:latin typeface="Mari" panose="020B0506040000020004" pitchFamily="34" charset="0"/>
              <a:cs typeface="Arial"/>
            </a:rPr>
            <a:t>Kriterier for udvælgelse af referencegruppe og demografisk baggrund</a:t>
          </a:r>
        </a:p>
        <a:p>
          <a:r>
            <a:rPr lang="en-US" sz="1100" b="0" i="0" u="none" strike="noStrike">
              <a:solidFill>
                <a:srgbClr val="000000"/>
              </a:solidFill>
              <a:latin typeface="Mari Light" panose="020B0506040000020004" pitchFamily="34" charset="0"/>
              <a:cs typeface="Arial"/>
            </a:rPr>
            <a:t>Referencematerialet er baseret på data fra et forskningsprojekt</a:t>
          </a:r>
          <a:r>
            <a:rPr lang="en-US" sz="1100" b="0" i="0" u="none" strike="noStrike" baseline="0">
              <a:solidFill>
                <a:srgbClr val="000000"/>
              </a:solidFill>
              <a:latin typeface="Mari Light" panose="020B0506040000020004" pitchFamily="34" charset="0"/>
              <a:cs typeface="Arial"/>
            </a:rPr>
            <a:t> med </a:t>
          </a:r>
          <a:r>
            <a:rPr lang="en-US" sz="1100" b="0" i="0" u="none" strike="noStrike">
              <a:solidFill>
                <a:srgbClr val="000000"/>
              </a:solidFill>
              <a:latin typeface="Mari Light" panose="020B0506040000020004" pitchFamily="34" charset="0"/>
              <a:cs typeface="Arial"/>
            </a:rPr>
            <a:t>1.082 danskere</a:t>
          </a:r>
          <a:r>
            <a:rPr lang="en-US" sz="1100" b="0" i="0" u="none" strike="noStrike" baseline="0">
              <a:solidFill>
                <a:srgbClr val="000000"/>
              </a:solidFill>
              <a:latin typeface="Mari Light" panose="020B0506040000020004" pitchFamily="34" charset="0"/>
              <a:cs typeface="Arial"/>
            </a:rPr>
            <a:t>. I alt 1.608 danskere i alderen 20-79 år blev tilfældigt udvalgt i den danske befolkning ved hjælp af CPR-registret. Hvert alderstrin var repræsenteret lige højt. Gruppen modtog spørgeskemaet med posten, og 1.082 (67%) sendte et korrekt udfyldt spørgeskema retur.</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Light" panose="020B0506040000020004" pitchFamily="34" charset="0"/>
              <a:cs typeface="Arial"/>
            </a:rPr>
            <a:t>Aldersfordelingen var ikke repræsentativ for den danske befolkning, fordi man havde udvalgt lige mange personer for hvert alderstrin. Du kan justere for alder i scoringsprogrammet. Personer med lavt uddannelsesniveau var underrepræsenteret sammenlignet med den danske befolkning, og personer med lærlinge eller erhvervsfaglig grunduddannelse var overrepræsenteret.</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Light" panose="020B0506040000020004" pitchFamily="34" charset="0"/>
              <a:cs typeface="Arial"/>
            </a:rPr>
            <a:t>Nationalitet og årstal	Dansk materiale, år 2000</a:t>
          </a:r>
        </a:p>
        <a:p>
          <a:r>
            <a:rPr lang="en-US" sz="1100" b="0" i="0" u="none" strike="noStrike" baseline="0">
              <a:solidFill>
                <a:srgbClr val="000000"/>
              </a:solidFill>
              <a:latin typeface="Mari Light" panose="020B0506040000020004" pitchFamily="34" charset="0"/>
              <a:cs typeface="Arial"/>
            </a:rPr>
            <a:t>Antal		1.082 personer</a:t>
          </a:r>
        </a:p>
        <a:p>
          <a:r>
            <a:rPr lang="en-US" sz="1100" b="0" i="0" u="none" strike="noStrike" baseline="0">
              <a:solidFill>
                <a:srgbClr val="000000"/>
              </a:solidFill>
              <a:latin typeface="Mari Light" panose="020B0506040000020004" pitchFamily="34" charset="0"/>
              <a:cs typeface="Arial"/>
            </a:rPr>
            <a:t>Alder		Fra 20 til 79 år med et gennemsnit på 48 år 			(standardafgivelse = 17)</a:t>
          </a:r>
        </a:p>
        <a:p>
          <a:r>
            <a:rPr lang="en-US" sz="1100" b="0" i="0" u="none" strike="noStrike" baseline="0">
              <a:solidFill>
                <a:srgbClr val="000000"/>
              </a:solidFill>
              <a:latin typeface="Mari Light" panose="020B0506040000020004" pitchFamily="34" charset="0"/>
              <a:cs typeface="Arial"/>
            </a:rPr>
            <a:t>Kønsfordeling		544 kvinder og 533 mænd</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tx1"/>
              </a:solidFill>
              <a:effectLst/>
              <a:latin typeface="Mari Light" panose="020B0506040000020004" pitchFamily="34" charset="0"/>
              <a:ea typeface="+mn-ea"/>
              <a:cs typeface="+mn-cs"/>
            </a:rPr>
            <a:t>Uddannelsesniveau	246 med over 3 års uddannelse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tx1"/>
              </a:solidFill>
              <a:effectLst/>
              <a:latin typeface="Mari Light" panose="020B0506040000020004" pitchFamily="34" charset="0"/>
              <a:ea typeface="+mn-ea"/>
              <a:cs typeface="+mn-cs"/>
            </a:rPr>
            <a:t>		231 med lærlinge/erhvervsfaglig grunduddannelse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tx1"/>
              </a:solidFill>
              <a:effectLst/>
              <a:latin typeface="Mari Light" panose="020B0506040000020004" pitchFamily="34" charset="0"/>
              <a:ea typeface="+mn-ea"/>
              <a:cs typeface="+mn-cs"/>
            </a:rPr>
            <a:t>		292 med under 3 års uddannelse			199 uden uddannelse</a:t>
          </a:r>
          <a:endParaRPr lang="en-US">
            <a:effectLst/>
            <a:latin typeface="Mari Light" panose="020B0506040000020004" pitchFamily="34" charset="0"/>
          </a:endParaRP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panose="020B0506040000020004" pitchFamily="34" charset="0"/>
              <a:cs typeface="Arial"/>
            </a:rPr>
            <a:t>Statistisk metode</a:t>
          </a:r>
        </a:p>
        <a:p>
          <a:r>
            <a:rPr lang="en-US" sz="1100" b="0" i="0" u="none" strike="noStrike" baseline="0">
              <a:solidFill>
                <a:srgbClr val="000000"/>
              </a:solidFill>
              <a:latin typeface="Mari Light" panose="020B0506040000020004" pitchFamily="34" charset="0"/>
              <a:cs typeface="Arial"/>
            </a:rPr>
            <a:t>Testresultaterne sammenlignes med non-parametriske modeller, som er estimeret med kernel density estimation på baggrund af rådata. Hvis man justerer for køns- og aldersforskelle, vil testresultaterne blive sammenlignet med en model for et udsnit af referencegruppen, som matcher testpersonens køn og/eller alder. Alder er inddelt i grupper á 10 år (20-29, 30-39, 40-49, osv.). Man vil altid sammenligne testresultaterne med mindst 67 personer i referencegruppen (se tabel nedenfor).</a:t>
          </a:r>
        </a:p>
        <a:p>
          <a:endParaRPr lang="en-US" sz="1100" b="0" i="0" u="none" strike="noStrike" baseline="0">
            <a:solidFill>
              <a:srgbClr val="000000"/>
            </a:solidFill>
            <a:latin typeface="Mari Light" panose="020B0506040000020004" pitchFamily="34" charset="0"/>
            <a:cs typeface="Arial"/>
          </a:endParaRPr>
        </a:p>
        <a:p>
          <a:r>
            <a:rPr lang="en-US" sz="1100" b="0" i="0" u="none" strike="noStrike" baseline="0">
              <a:solidFill>
                <a:srgbClr val="000000"/>
              </a:solidFill>
              <a:latin typeface="Mari Light" panose="020B0506040000020004" pitchFamily="34" charset="0"/>
              <a:cs typeface="Arial"/>
            </a:rPr>
            <a:t>Data er ikke normalfordelte. Fordelingen af data var skævvredet i positiv retning for alle subskalaerne. Det betyder at resultaterne har en tendens til at samle sig i den lave ende af skalaen i forhold til gennemsnittet. Den skæve fordeling kan tilskrives en gulveffekt, idet store andele af referencegruppen scorer den lavest mulige råscore (op til 27% på Mental Fatigue). Det betyder at referencematerialet er dårligt egnet til at skelne mellem lave niveauer af træthed i den danske befolkning, men det har ikke betydning for evnen til at skelne mellem personer med mellemstore til høje niveauer af træthed. Referencematerialet kan derfor godt bruges til at vurdere, om træthed er forhøjet i forhold til referencegruppen på trods af gulveffekterne.</a:t>
          </a:r>
        </a:p>
        <a:p>
          <a:endParaRPr lang="en-US" sz="1100" b="0" i="0" u="none" strike="noStrike">
            <a:solidFill>
              <a:srgbClr val="000000"/>
            </a:solidFill>
            <a:latin typeface="Mari Light" panose="020B0506040000020004" pitchFamily="34" charset="0"/>
            <a:cs typeface="Arial"/>
          </a:endParaRPr>
        </a:p>
        <a:p>
          <a:r>
            <a:rPr lang="en-US" sz="1100" b="0" i="0" u="none" strike="noStrike">
              <a:solidFill>
                <a:srgbClr val="000000"/>
              </a:solidFill>
              <a:latin typeface="Mari" panose="020B0506040000020004" pitchFamily="34" charset="0"/>
              <a:cs typeface="Arial"/>
            </a:rPr>
            <a:t>Reference</a:t>
          </a:r>
        </a:p>
        <a:p>
          <a:r>
            <a:rPr lang="en-US" sz="1100" b="0" i="0" u="none" strike="noStrike">
              <a:solidFill>
                <a:srgbClr val="000000"/>
              </a:solidFill>
              <a:latin typeface="Mari Light" panose="020B0506040000020004" pitchFamily="34" charset="0"/>
              <a:cs typeface="Arial"/>
            </a:rPr>
            <a:t>Data er publiceret i artiklen:</a:t>
          </a:r>
          <a:r>
            <a:rPr lang="en-US" sz="1100" b="0" i="0" u="none" strike="noStrike" baseline="0">
              <a:solidFill>
                <a:srgbClr val="000000"/>
              </a:solidFill>
              <a:latin typeface="Mari Light" panose="020B0506040000020004" pitchFamily="34" charset="0"/>
              <a:cs typeface="Arial"/>
            </a:rPr>
            <a:t> Watt, T.; Groenvold, M.; Bjorner, J.B.; Noerholm, V.; Rasmussen, N.-A.; Bech, P. Fatigue in the Danish General Population. Influence of Sociodemographic Factors and Disease. J Epidemiol Community Heal. 2000, 54, 827–833.</a:t>
          </a:r>
          <a:endParaRPr lang="en-US" sz="1100" b="0" i="0" u="none" strike="noStrike">
            <a:solidFill>
              <a:srgbClr val="000000"/>
            </a:solidFill>
            <a:latin typeface="Mari Light" panose="020B0506040000020004" pitchFamily="34" charset="0"/>
            <a:cs typeface="Arial"/>
          </a:endParaRPr>
        </a:p>
      </xdr:txBody>
    </xdr:sp>
    <xdr:clientData/>
  </xdr:oneCellAnchor>
  <xdr:twoCellAnchor>
    <xdr:from>
      <xdr:col>2</xdr:col>
      <xdr:colOff>0</xdr:colOff>
      <xdr:row>9</xdr:row>
      <xdr:rowOff>0</xdr:rowOff>
    </xdr:from>
    <xdr:to>
      <xdr:col>10</xdr:col>
      <xdr:colOff>0</xdr:colOff>
      <xdr:row>10</xdr:row>
      <xdr:rowOff>142875</xdr:rowOff>
    </xdr:to>
    <xdr:sp macro="" textlink="">
      <xdr:nvSpPr>
        <xdr:cNvPr id="6" name="Tekstfelt 5">
          <a:extLst>
            <a:ext uri="{FF2B5EF4-FFF2-40B4-BE49-F238E27FC236}">
              <a16:creationId xmlns:a16="http://schemas.microsoft.com/office/drawing/2014/main" id="{577F0DEE-C9AA-461C-B131-5BFABEC47586}"/>
            </a:ext>
          </a:extLst>
        </xdr:cNvPr>
        <xdr:cNvSpPr txBox="1"/>
      </xdr:nvSpPr>
      <xdr:spPr>
        <a:xfrm>
          <a:off x="495300" y="1457325"/>
          <a:ext cx="1981200" cy="304800"/>
        </a:xfrm>
        <a:prstGeom prst="roundRect">
          <a:avLst/>
        </a:prstGeom>
        <a:solidFill>
          <a:schemeClr val="bg2"/>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lang="en-US" sz="1100">
              <a:latin typeface="Mari" panose="020B0506040000020004" pitchFamily="34" charset="0"/>
            </a:rPr>
            <a:t>2) Referencedata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38100</xdr:colOff>
      <xdr:row>13</xdr:row>
      <xdr:rowOff>19050</xdr:rowOff>
    </xdr:from>
    <xdr:to>
      <xdr:col>19</xdr:col>
      <xdr:colOff>495300</xdr:colOff>
      <xdr:row>30</xdr:row>
      <xdr:rowOff>9525</xdr:rowOff>
    </xdr:to>
    <xdr:graphicFrame macro="">
      <xdr:nvGraphicFramePr>
        <xdr:cNvPr id="62502" name="Diagram 3">
          <a:extLst>
            <a:ext uri="{FF2B5EF4-FFF2-40B4-BE49-F238E27FC236}">
              <a16:creationId xmlns:a16="http://schemas.microsoft.com/office/drawing/2014/main" id="{610539EA-4152-03C0-9535-27D5F7E4B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6</xdr:row>
      <xdr:rowOff>0</xdr:rowOff>
    </xdr:from>
    <xdr:to>
      <xdr:col>8</xdr:col>
      <xdr:colOff>304800</xdr:colOff>
      <xdr:row>22</xdr:row>
      <xdr:rowOff>152400</xdr:rowOff>
    </xdr:to>
    <xdr:graphicFrame macro="">
      <xdr:nvGraphicFramePr>
        <xdr:cNvPr id="2" name="Diagram 1">
          <a:extLst>
            <a:ext uri="{FF2B5EF4-FFF2-40B4-BE49-F238E27FC236}">
              <a16:creationId xmlns:a16="http://schemas.microsoft.com/office/drawing/2014/main" id="{6E0A1E86-16C2-405E-9260-85E251594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0000000}" name="Tabel23" displayName="Tabel23" ref="C2:C5" totalsRowShown="0" headerRowDxfId="18" dataDxfId="17">
  <autoFilter ref="C2:C5" xr:uid="{00000000-0009-0000-0100-000017000000}"/>
  <tableColumns count="1">
    <tableColumn id="1" xr3:uid="{00000000-0010-0000-0000-000001000000}" name="Køn"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FF96FF-A940-4F40-906F-3C800EB003ED}" name="Tabel1" displayName="Tabel1" ref="D2:D7" totalsRowShown="0" headerRowDxfId="15">
  <autoFilter ref="D2:D7" xr:uid="{9EFF96FF-A940-4F40-906F-3C800EB003ED}"/>
  <tableColumns count="1">
    <tableColumn id="1" xr3:uid="{F8363DD6-151A-4DD6-BDDE-CE71D855B267}" name="Subskala"/>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3790A4-131C-4F8E-B58C-7F0DC898FB66}" name="Tabel2" displayName="Tabel2" ref="E2:E7" totalsRowShown="0" headerRowDxfId="14">
  <autoFilter ref="E2:E7" xr:uid="{013790A4-131C-4F8E-B58C-7F0DC898FB66}"/>
  <tableColumns count="1">
    <tableColumn id="1" xr3:uid="{7C45878C-92ED-45E0-B69F-E8D7677104D6}" name="Forkortels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Tabel14" displayName="Tabel14" ref="H2:H4" totalsRowShown="0" headerRowDxfId="11">
  <autoFilter ref="H2:H4" xr:uid="{00000000-0009-0000-0100-00000E000000}"/>
  <tableColumns count="1">
    <tableColumn id="1" xr3:uid="{00000000-0010-0000-0100-000001000000}" name="Transforma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2000000}" name="Tabel15" displayName="Tabel15" ref="I2:I5" totalsRowShown="0" headerRowDxfId="10">
  <autoFilter ref="I2:I5" xr:uid="{00000000-0009-0000-0100-00000F000000}"/>
  <tableColumns count="1">
    <tableColumn id="1" xr3:uid="{00000000-0010-0000-0200-000001000000}" name="Type"/>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3000000}" name="Tabel16" displayName="Tabel16" ref="J2:J5" totalsRowShown="0" headerRowDxfId="9">
  <autoFilter ref="J2:J5" xr:uid="{00000000-0009-0000-0100-000010000000}"/>
  <tableColumns count="1">
    <tableColumn id="1" xr3:uid="{00000000-0010-0000-0300-000001000000}" name="Retning"/>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Master13" displayName="Master13" ref="G1:I6" totalsRowShown="0" headerRowDxfId="8">
  <autoFilter ref="G1:I6" xr:uid="{00000000-0009-0000-0100-00000C000000}"/>
  <tableColumns count="3">
    <tableColumn id="1" xr3:uid="{00000000-0010-0000-0400-000001000000}" name="Master" dataDxfId="7"/>
    <tableColumn id="2" xr3:uid="{BD52321B-6C1F-47AC-BB3C-446C93086CB4}" name="Fra" dataDxfId="6"/>
    <tableColumn id="3" xr3:uid="{B123F1E2-EBA0-4FC4-88AC-F452DDE0D65E}" name="Til" dataDxfId="5"/>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Normdata" displayName="Normdata" ref="A1:F34" totalsRowShown="0">
  <autoFilter ref="A1:F34" xr:uid="{00000000-0009-0000-0100-00000D000000}"/>
  <tableColumns count="6">
    <tableColumn id="1" xr3:uid="{00000000-0010-0000-0500-000001000000}" name="Score"/>
    <tableColumn id="2" xr3:uid="{00000000-0010-0000-0500-000002000000}" name="General" dataDxfId="4">
      <calculatedColumnFormula>model!AH16</calculatedColumnFormula>
    </tableColumn>
    <tableColumn id="3" xr3:uid="{00000000-0010-0000-0500-000003000000}" name="Physical" dataDxfId="3">
      <calculatedColumnFormula>model!AI16</calculatedColumnFormula>
    </tableColumn>
    <tableColumn id="4" xr3:uid="{00000000-0010-0000-0500-000004000000}" name="Activity" dataDxfId="2">
      <calculatedColumnFormula>model!AJ16</calculatedColumnFormula>
    </tableColumn>
    <tableColumn id="5" xr3:uid="{00000000-0010-0000-0500-000005000000}" name="Mental" dataDxfId="1">
      <calculatedColumnFormula>model!AK16</calculatedColumnFormula>
    </tableColumn>
    <tableColumn id="6" xr3:uid="{00000000-0010-0000-0500-000006000000}" name="Motivation" dataDxfId="0">
      <calculatedColumnFormula>model!AL16</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Videnscenter for Neurorehabilitering">
      <a:dk1>
        <a:sysClr val="windowText" lastClr="000000"/>
      </a:dk1>
      <a:lt1>
        <a:sysClr val="window" lastClr="FFFFFF"/>
      </a:lt1>
      <a:dk2>
        <a:srgbClr val="354933"/>
      </a:dk2>
      <a:lt2>
        <a:srgbClr val="F7F0EA"/>
      </a:lt2>
      <a:accent1>
        <a:srgbClr val="247D52"/>
      </a:accent1>
      <a:accent2>
        <a:srgbClr val="EB7576"/>
      </a:accent2>
      <a:accent3>
        <a:srgbClr val="F7D6DE"/>
      </a:accent3>
      <a:accent4>
        <a:srgbClr val="F7F0EA"/>
      </a:accent4>
      <a:accent5>
        <a:srgbClr val="2D2D2C"/>
      </a:accent5>
      <a:accent6>
        <a:srgbClr val="354933"/>
      </a:accent6>
      <a:hlink>
        <a:srgbClr val="F7D6DE"/>
      </a:hlink>
      <a:folHlink>
        <a:srgbClr val="EB757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vnr.d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6.bin"/><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AA79"/>
  <sheetViews>
    <sheetView showGridLines="0" tabSelected="1" zoomScaleNormal="100" workbookViewId="0">
      <selection activeCell="U19" sqref="U19:W19"/>
    </sheetView>
  </sheetViews>
  <sheetFormatPr defaultRowHeight="12.75" x14ac:dyDescent="0.2"/>
  <cols>
    <col min="1" max="24" width="3.7109375" customWidth="1"/>
    <col min="25" max="25" width="9.140625" customWidth="1"/>
  </cols>
  <sheetData>
    <row r="1" spans="1:25" ht="12.75" customHeight="1" x14ac:dyDescent="0.2">
      <c r="A1" s="92" t="str">
        <f>master!B5&amp;" "&amp;master!B6&amp;master!B7</f>
        <v>MULTIDIMENSIONAL FATIGUE INVENTORY (MFI-20)</v>
      </c>
      <c r="B1" s="92"/>
      <c r="C1" s="92"/>
      <c r="D1" s="92"/>
      <c r="E1" s="92"/>
      <c r="F1" s="92"/>
      <c r="G1" s="92"/>
      <c r="H1" s="92"/>
      <c r="I1" s="92"/>
      <c r="J1" s="92"/>
      <c r="K1" s="92"/>
      <c r="L1" s="92"/>
      <c r="M1" s="92"/>
      <c r="N1" s="92"/>
      <c r="O1" s="92"/>
      <c r="P1" s="92"/>
      <c r="Q1" s="92"/>
      <c r="R1" s="92"/>
      <c r="S1" s="92"/>
      <c r="T1" s="92"/>
      <c r="U1" s="92"/>
      <c r="V1" s="92"/>
      <c r="W1" s="92"/>
      <c r="X1" s="92"/>
      <c r="Y1" s="41"/>
    </row>
    <row r="2" spans="1:25" ht="12.75" customHeight="1" x14ac:dyDescent="0.2">
      <c r="A2" s="92"/>
      <c r="B2" s="92"/>
      <c r="C2" s="92"/>
      <c r="D2" s="92"/>
      <c r="E2" s="92"/>
      <c r="F2" s="92"/>
      <c r="G2" s="92"/>
      <c r="H2" s="92"/>
      <c r="I2" s="92"/>
      <c r="J2" s="92"/>
      <c r="K2" s="92"/>
      <c r="L2" s="92"/>
      <c r="M2" s="92"/>
      <c r="N2" s="92"/>
      <c r="O2" s="92"/>
      <c r="P2" s="92"/>
      <c r="Q2" s="92"/>
      <c r="R2" s="92"/>
      <c r="S2" s="92"/>
      <c r="T2" s="92"/>
      <c r="U2" s="92"/>
      <c r="V2" s="92"/>
      <c r="W2" s="92"/>
      <c r="X2" s="92"/>
      <c r="Y2" s="41"/>
    </row>
    <row r="3" spans="1:25" ht="12.75" customHeight="1" x14ac:dyDescent="0.2">
      <c r="A3" s="108" t="s">
        <v>91</v>
      </c>
      <c r="B3" s="108"/>
      <c r="C3" s="108"/>
      <c r="D3" s="108"/>
      <c r="E3" s="108"/>
      <c r="F3" s="108"/>
      <c r="G3" s="108"/>
      <c r="H3" s="108"/>
      <c r="I3" s="108"/>
      <c r="J3" s="108"/>
      <c r="K3" s="108"/>
      <c r="L3" s="108"/>
      <c r="M3" s="108"/>
      <c r="N3" s="108"/>
      <c r="O3" s="108"/>
      <c r="P3" s="108"/>
      <c r="Q3" s="108"/>
      <c r="R3" s="108"/>
      <c r="S3" s="108"/>
      <c r="T3" s="108"/>
      <c r="U3" s="108"/>
      <c r="V3" s="108"/>
      <c r="W3" s="108"/>
      <c r="X3" s="108"/>
      <c r="Y3" s="41"/>
    </row>
    <row r="4" spans="1:25" ht="12.75" customHeigh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42"/>
    </row>
    <row r="5" spans="1:25" ht="12.75" customHeight="1" x14ac:dyDescent="0.2">
      <c r="A5" s="49"/>
      <c r="B5" s="49"/>
      <c r="C5" s="49"/>
      <c r="D5" s="49"/>
      <c r="E5" s="49"/>
      <c r="F5" s="49"/>
      <c r="G5" s="49"/>
      <c r="H5" s="49"/>
      <c r="I5" s="49"/>
      <c r="J5" s="49"/>
      <c r="K5" s="49"/>
      <c r="L5" s="49"/>
      <c r="M5" s="49"/>
      <c r="N5" s="49"/>
      <c r="O5" s="49"/>
      <c r="P5" s="49"/>
      <c r="Q5" s="49"/>
      <c r="R5" s="49"/>
      <c r="S5" s="49"/>
      <c r="T5" s="49"/>
      <c r="U5" s="49"/>
      <c r="V5" s="49"/>
      <c r="W5" s="49"/>
      <c r="X5" s="49"/>
      <c r="Y5" s="42"/>
    </row>
    <row r="6" spans="1:25" ht="12.75" customHeight="1" x14ac:dyDescent="0.2">
      <c r="A6" s="49"/>
      <c r="B6" s="49"/>
      <c r="C6" s="49"/>
      <c r="D6" s="49"/>
      <c r="E6" s="49"/>
      <c r="F6" s="49"/>
      <c r="G6" s="49"/>
      <c r="H6" s="49"/>
      <c r="I6" s="49"/>
      <c r="J6" s="49"/>
      <c r="K6" s="49"/>
      <c r="L6" s="49"/>
      <c r="M6" s="49"/>
      <c r="N6" s="49"/>
      <c r="O6" s="49"/>
      <c r="P6" s="49"/>
      <c r="Q6" s="49"/>
      <c r="R6" s="49"/>
      <c r="S6" s="49"/>
      <c r="T6" s="49"/>
      <c r="U6" s="49"/>
      <c r="V6" s="49"/>
      <c r="W6" s="49"/>
      <c r="X6" s="49"/>
      <c r="Y6" s="42"/>
    </row>
    <row r="7" spans="1:25" ht="12.75" customHeight="1" x14ac:dyDescent="0.2">
      <c r="A7" s="49"/>
      <c r="B7" s="49"/>
      <c r="C7" s="49"/>
      <c r="D7" s="49"/>
      <c r="E7" s="49"/>
      <c r="F7" s="49"/>
      <c r="G7" s="49"/>
      <c r="H7" s="49"/>
      <c r="I7" s="49"/>
      <c r="J7" s="49"/>
      <c r="K7" s="49"/>
      <c r="L7" s="49"/>
      <c r="M7" s="49"/>
      <c r="N7" s="49"/>
      <c r="O7" s="49"/>
      <c r="P7" s="49"/>
      <c r="Q7" s="49"/>
      <c r="R7" s="49"/>
      <c r="S7" s="49"/>
      <c r="T7" s="49"/>
      <c r="U7" s="49"/>
      <c r="V7" s="49"/>
      <c r="W7" s="49"/>
      <c r="X7" s="49"/>
      <c r="Y7" s="42"/>
    </row>
    <row r="8" spans="1:25" ht="12.75" customHeight="1" x14ac:dyDescent="0.2">
      <c r="A8" s="49"/>
      <c r="B8" s="49"/>
      <c r="C8" s="49"/>
      <c r="D8" s="49"/>
      <c r="E8" s="49"/>
      <c r="F8" s="49"/>
      <c r="G8" s="49"/>
      <c r="H8" s="49"/>
      <c r="I8" s="49"/>
      <c r="J8" s="49"/>
      <c r="K8" s="49"/>
      <c r="L8" s="49"/>
      <c r="M8" s="49"/>
      <c r="N8" s="49"/>
      <c r="O8" s="49"/>
      <c r="P8" s="49"/>
      <c r="Q8" s="49"/>
      <c r="R8" s="49"/>
      <c r="S8" s="49"/>
      <c r="T8" s="49"/>
      <c r="U8" s="49"/>
      <c r="V8" s="49"/>
      <c r="W8" s="49"/>
      <c r="X8" s="49"/>
      <c r="Y8" s="42"/>
    </row>
    <row r="9" spans="1:25" ht="12.75" customHeight="1" x14ac:dyDescent="0.2"/>
    <row r="10" spans="1:25" ht="12.75" customHeight="1" x14ac:dyDescent="0.2"/>
    <row r="11" spans="1:25" ht="12.75" customHeight="1" x14ac:dyDescent="0.2"/>
    <row r="12" spans="1:25" ht="12.75" customHeight="1" x14ac:dyDescent="0.2"/>
    <row r="13" spans="1:25" ht="12.75" customHeight="1" x14ac:dyDescent="0.2"/>
    <row r="14" spans="1:25" ht="12.75" customHeight="1" x14ac:dyDescent="0.2"/>
    <row r="15" spans="1:25" ht="12.75" customHeight="1" x14ac:dyDescent="0.2"/>
    <row r="16" spans="1:25" ht="12.75" customHeight="1" x14ac:dyDescent="0.2"/>
    <row r="17" spans="2:27" ht="12.75" customHeight="1" x14ac:dyDescent="0.2"/>
    <row r="18" spans="2:27" ht="14.25" x14ac:dyDescent="0.2">
      <c r="B18" s="93" t="s">
        <v>102</v>
      </c>
      <c r="C18" s="94"/>
      <c r="D18" s="94"/>
      <c r="E18" s="94"/>
      <c r="F18" s="94"/>
      <c r="G18" s="94"/>
      <c r="H18" s="94"/>
      <c r="I18" s="94"/>
      <c r="J18" s="94"/>
      <c r="K18" s="94"/>
      <c r="L18" s="94"/>
      <c r="M18" s="94"/>
      <c r="N18" s="94"/>
      <c r="O18" s="94"/>
      <c r="P18" s="94"/>
      <c r="Q18" s="94"/>
      <c r="R18" s="94"/>
      <c r="S18" s="94"/>
      <c r="T18" s="94"/>
      <c r="U18" s="94"/>
      <c r="V18" s="94"/>
      <c r="W18" s="95"/>
    </row>
    <row r="19" spans="2:27" ht="14.25" x14ac:dyDescent="0.2">
      <c r="B19" s="96" t="s">
        <v>89</v>
      </c>
      <c r="C19" s="97"/>
      <c r="D19" s="97"/>
      <c r="E19" s="97"/>
      <c r="F19" s="97"/>
      <c r="G19" s="97"/>
      <c r="H19" s="97"/>
      <c r="I19" s="97"/>
      <c r="J19" s="97"/>
      <c r="K19" s="97"/>
      <c r="L19" s="97"/>
      <c r="M19" s="97"/>
      <c r="N19" s="97"/>
      <c r="O19" s="97"/>
      <c r="P19" s="97"/>
      <c r="Q19" s="97"/>
      <c r="R19" s="97"/>
      <c r="S19" s="97"/>
      <c r="T19" s="97"/>
      <c r="U19" s="102" t="s">
        <v>103</v>
      </c>
      <c r="V19" s="102"/>
      <c r="W19" s="103"/>
    </row>
    <row r="20" spans="2:27" ht="14.25" x14ac:dyDescent="0.2">
      <c r="B20" s="98" t="s">
        <v>92</v>
      </c>
      <c r="C20" s="99"/>
      <c r="D20" s="99"/>
      <c r="E20" s="99"/>
      <c r="F20" s="99"/>
      <c r="G20" s="99"/>
      <c r="H20" s="99"/>
      <c r="I20" s="99"/>
      <c r="J20" s="99"/>
      <c r="K20" s="99"/>
      <c r="L20" s="99"/>
      <c r="M20" s="99"/>
      <c r="N20" s="99"/>
      <c r="O20" s="99"/>
      <c r="P20" s="99"/>
      <c r="Q20" s="99"/>
      <c r="R20" s="99"/>
      <c r="S20" s="99"/>
      <c r="T20" s="99"/>
      <c r="U20" s="104" t="s">
        <v>103</v>
      </c>
      <c r="V20" s="104"/>
      <c r="W20" s="105"/>
    </row>
    <row r="21" spans="2:27" ht="14.25" x14ac:dyDescent="0.2">
      <c r="B21" s="100" t="s">
        <v>90</v>
      </c>
      <c r="C21" s="101"/>
      <c r="D21" s="101"/>
      <c r="E21" s="101"/>
      <c r="F21" s="101"/>
      <c r="G21" s="101"/>
      <c r="H21" s="101"/>
      <c r="I21" s="101"/>
      <c r="J21" s="101"/>
      <c r="K21" s="101"/>
      <c r="L21" s="101"/>
      <c r="M21" s="101"/>
      <c r="N21" s="101"/>
      <c r="O21" s="101"/>
      <c r="P21" s="101"/>
      <c r="Q21" s="101"/>
      <c r="R21" s="101"/>
      <c r="S21" s="101"/>
      <c r="T21" s="101"/>
      <c r="U21" s="106" t="s">
        <v>103</v>
      </c>
      <c r="V21" s="106"/>
      <c r="W21" s="107"/>
    </row>
    <row r="22" spans="2:27" ht="14.25" x14ac:dyDescent="0.2">
      <c r="B22" s="44"/>
      <c r="C22" s="44"/>
      <c r="D22" s="44"/>
      <c r="E22" s="44"/>
      <c r="F22" s="44"/>
      <c r="G22" s="44"/>
      <c r="H22" s="44"/>
      <c r="I22" s="44"/>
      <c r="J22" s="44"/>
      <c r="K22" s="44"/>
      <c r="L22" s="44"/>
      <c r="M22" s="44"/>
      <c r="N22" s="45"/>
      <c r="O22" s="45"/>
      <c r="P22" s="45"/>
    </row>
    <row r="23" spans="2:27" x14ac:dyDescent="0.2">
      <c r="B23" s="4"/>
      <c r="C23" s="4"/>
      <c r="D23" s="4"/>
      <c r="E23" s="4"/>
      <c r="F23" s="4"/>
      <c r="G23" s="4"/>
      <c r="H23" s="4"/>
      <c r="I23" s="4"/>
      <c r="J23" s="4"/>
      <c r="K23" s="4"/>
      <c r="L23" s="4"/>
      <c r="M23" s="4"/>
      <c r="N23" s="40"/>
      <c r="O23" s="40"/>
      <c r="P23" s="40"/>
    </row>
    <row r="24" spans="2:27" ht="12.75" customHeight="1" x14ac:dyDescent="0.2"/>
    <row r="29" spans="2:27" x14ac:dyDescent="0.2">
      <c r="AA29" s="4" t="s">
        <v>95</v>
      </c>
    </row>
    <row r="54" spans="2:24" x14ac:dyDescent="0.2">
      <c r="B54" s="91" t="s">
        <v>178</v>
      </c>
      <c r="C54" s="91"/>
      <c r="D54" s="91"/>
      <c r="E54" s="91"/>
      <c r="F54" s="91"/>
      <c r="G54" s="91"/>
      <c r="H54" s="91"/>
      <c r="I54" s="91"/>
      <c r="J54" s="91"/>
      <c r="K54" s="91"/>
      <c r="L54" s="109" t="s">
        <v>93</v>
      </c>
      <c r="M54" s="109"/>
      <c r="N54" s="109"/>
      <c r="O54" s="81"/>
      <c r="P54" s="81"/>
      <c r="Q54" s="81"/>
      <c r="R54" s="81"/>
      <c r="S54" s="81"/>
      <c r="T54" s="81"/>
      <c r="U54" s="81"/>
      <c r="V54" s="81"/>
      <c r="W54" s="81"/>
    </row>
    <row r="55" spans="2:24" x14ac:dyDescent="0.2">
      <c r="B55" s="91" t="str">
        <f>"Version "&amp;master!B2&amp;" — "&amp;master!$B$3</f>
        <v>Version 2.0 — September 2024</v>
      </c>
      <c r="C55" s="91"/>
      <c r="D55" s="91"/>
      <c r="E55" s="91"/>
      <c r="F55" s="91"/>
      <c r="G55" s="91"/>
      <c r="H55" s="91"/>
      <c r="I55" s="91"/>
      <c r="J55" s="91"/>
      <c r="K55" s="91"/>
      <c r="L55" s="91"/>
      <c r="M55" s="91"/>
      <c r="N55" s="91"/>
      <c r="O55" s="91"/>
      <c r="P55" s="91"/>
      <c r="Q55" s="91"/>
      <c r="R55" s="91"/>
      <c r="S55" s="91"/>
      <c r="T55" s="91"/>
      <c r="U55" s="91"/>
      <c r="V55" s="91"/>
      <c r="W55" s="91"/>
    </row>
    <row r="56" spans="2:24" x14ac:dyDescent="0.2">
      <c r="B56" s="83" t="str">
        <f>"Skrevet af "&amp;master!B4</f>
        <v>Skrevet af Frederik L. Dornonville de la Cour, PhD</v>
      </c>
      <c r="C56" s="82"/>
      <c r="D56" s="82"/>
      <c r="E56" s="82"/>
      <c r="F56" s="82"/>
      <c r="G56" s="82"/>
      <c r="H56" s="82"/>
      <c r="I56" s="82"/>
      <c r="J56" s="82"/>
      <c r="K56" s="82"/>
      <c r="L56" s="82"/>
      <c r="M56" s="82"/>
      <c r="N56" s="82"/>
      <c r="O56" s="82"/>
      <c r="P56" s="82"/>
      <c r="Q56" s="82"/>
      <c r="R56" s="82"/>
      <c r="S56" s="82"/>
      <c r="T56" s="82"/>
      <c r="U56" s="82"/>
      <c r="V56" s="82"/>
      <c r="W56" s="82"/>
    </row>
    <row r="57" spans="2:24" x14ac:dyDescent="0.2">
      <c r="B57" s="4"/>
    </row>
    <row r="60" spans="2:24" x14ac:dyDescent="0.2">
      <c r="X60" s="43"/>
    </row>
    <row r="61" spans="2:24" x14ac:dyDescent="0.2">
      <c r="X61" s="43"/>
    </row>
    <row r="62" spans="2:24" x14ac:dyDescent="0.2">
      <c r="B62" s="4"/>
    </row>
    <row r="65" spans="2:2" x14ac:dyDescent="0.2">
      <c r="B65" s="4"/>
    </row>
    <row r="68" spans="2:2" x14ac:dyDescent="0.2">
      <c r="B68" s="4"/>
    </row>
    <row r="69" spans="2:2" x14ac:dyDescent="0.2">
      <c r="B69" s="4"/>
    </row>
    <row r="72" spans="2:2" x14ac:dyDescent="0.2">
      <c r="B72" s="4"/>
    </row>
    <row r="73" spans="2:2" ht="14.25" x14ac:dyDescent="0.2">
      <c r="B73" s="38"/>
    </row>
    <row r="75" spans="2:2" ht="14.25" x14ac:dyDescent="0.2">
      <c r="B75" s="39"/>
    </row>
    <row r="79" spans="2:2" ht="14.25" x14ac:dyDescent="0.2">
      <c r="B79" s="39"/>
    </row>
  </sheetData>
  <sheetProtection algorithmName="SHA-512" hashValue="1PgNEDjJ0oSKBRI0oRGaiZ8Orh5aOkLixBaY5SppICzCrq8rCsQtXPxXBGNLctBvBWlrBBYge1QA8Dyw5vbVCg==" saltValue="BSrRSUYpe4JBbHhww080jw==" spinCount="100000" sheet="1" objects="1" scenarios="1" selectLockedCells="1"/>
  <mergeCells count="12">
    <mergeCell ref="B55:W55"/>
    <mergeCell ref="A1:X2"/>
    <mergeCell ref="B18:W18"/>
    <mergeCell ref="B19:T19"/>
    <mergeCell ref="B20:T20"/>
    <mergeCell ref="B21:T21"/>
    <mergeCell ref="U19:W19"/>
    <mergeCell ref="U20:W20"/>
    <mergeCell ref="U21:W21"/>
    <mergeCell ref="A3:X4"/>
    <mergeCell ref="B54:K54"/>
    <mergeCell ref="L54:N54"/>
  </mergeCells>
  <hyperlinks>
    <hyperlink ref="U19" location="'1) Scoringsværktøj'!A1" display="Link til siden" xr:uid="{00000000-0004-0000-0000-000000000000}"/>
    <hyperlink ref="U21" location="Datagrundlag!A1" display="Link til siden" xr:uid="{00000000-0004-0000-0000-000002000000}"/>
    <hyperlink ref="U20" location="'2B) Raske kontrolpersoner'!A1" display="Link til siden" xr:uid="{00000000-0004-0000-0000-000003000000}"/>
    <hyperlink ref="U20:W20" location="'2) Referencedata'!A1" display="Gå til" xr:uid="{00000000-0004-0000-0000-000006000000}"/>
    <hyperlink ref="U21:W21" location="'3) Datagrundlag'!A1" display="Link til siden" xr:uid="{00000000-0004-0000-0000-000007000000}"/>
    <hyperlink ref="L54" r:id="rId1" xr:uid="{BB88C6D3-E5BA-4A7E-B984-E5067C5A29B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X69"/>
  <sheetViews>
    <sheetView showGridLines="0" zoomScaleNormal="100" workbookViewId="0">
      <selection activeCell="E12" sqref="E12:F12"/>
    </sheetView>
  </sheetViews>
  <sheetFormatPr defaultRowHeight="12.75" x14ac:dyDescent="0.2"/>
  <cols>
    <col min="1" max="25" width="3.7109375" style="2" customWidth="1"/>
    <col min="26" max="16384" width="9.140625" style="2"/>
  </cols>
  <sheetData>
    <row r="1" spans="1:24" s="1" customFormat="1" ht="12.75" customHeight="1" x14ac:dyDescent="0.2">
      <c r="A1" s="92" t="str">
        <f>master!B5&amp;" "&amp;master!B6&amp;master!B7</f>
        <v>MULTIDIMENSIONAL FATIGUE INVENTORY (MFI-20)</v>
      </c>
      <c r="B1" s="92"/>
      <c r="C1" s="92"/>
      <c r="D1" s="92"/>
      <c r="E1" s="92"/>
      <c r="F1" s="92"/>
      <c r="G1" s="92"/>
      <c r="H1" s="92"/>
      <c r="I1" s="92"/>
      <c r="J1" s="92"/>
      <c r="K1" s="92"/>
      <c r="L1" s="92"/>
      <c r="M1" s="92"/>
      <c r="N1" s="92"/>
      <c r="O1" s="92"/>
      <c r="P1" s="92"/>
      <c r="Q1" s="92"/>
      <c r="R1" s="92"/>
      <c r="S1" s="92"/>
      <c r="T1" s="92"/>
      <c r="U1" s="92"/>
      <c r="V1" s="92"/>
      <c r="W1" s="92"/>
      <c r="X1" s="92"/>
    </row>
    <row r="2" spans="1:24" ht="12.75" customHeight="1" x14ac:dyDescent="0.2">
      <c r="A2" s="92"/>
      <c r="B2" s="92"/>
      <c r="C2" s="92"/>
      <c r="D2" s="92"/>
      <c r="E2" s="92"/>
      <c r="F2" s="92"/>
      <c r="G2" s="92"/>
      <c r="H2" s="92"/>
      <c r="I2" s="92"/>
      <c r="J2" s="92"/>
      <c r="K2" s="92"/>
      <c r="L2" s="92"/>
      <c r="M2" s="92"/>
      <c r="N2" s="92"/>
      <c r="O2" s="92"/>
      <c r="P2" s="92"/>
      <c r="Q2" s="92"/>
      <c r="R2" s="92"/>
      <c r="S2" s="92"/>
      <c r="T2" s="92"/>
      <c r="U2" s="92"/>
      <c r="V2" s="92"/>
      <c r="W2" s="92"/>
      <c r="X2" s="92"/>
    </row>
    <row r="3" spans="1:24" ht="12.75" customHeight="1" x14ac:dyDescent="0.2">
      <c r="A3" s="108" t="s">
        <v>91</v>
      </c>
      <c r="B3" s="108"/>
      <c r="C3" s="108"/>
      <c r="D3" s="108"/>
      <c r="E3" s="108"/>
      <c r="F3" s="108"/>
      <c r="G3" s="108"/>
      <c r="H3" s="108"/>
      <c r="I3" s="108"/>
      <c r="J3" s="108"/>
      <c r="K3" s="108"/>
      <c r="L3" s="108"/>
      <c r="M3" s="108"/>
      <c r="N3" s="108"/>
      <c r="O3" s="108"/>
      <c r="P3" s="108"/>
      <c r="Q3" s="108"/>
      <c r="R3" s="108"/>
      <c r="S3" s="108"/>
      <c r="T3" s="108"/>
      <c r="U3" s="108"/>
      <c r="V3" s="108"/>
      <c r="W3" s="108"/>
      <c r="X3" s="108"/>
    </row>
    <row r="4" spans="1:24" ht="12.75" customHeigh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row>
    <row r="5" spans="1:24" ht="12.75" customHeight="1" x14ac:dyDescent="0.2">
      <c r="A5" s="35"/>
      <c r="B5" s="35"/>
      <c r="C5" s="35"/>
      <c r="D5" s="35"/>
      <c r="E5" s="35"/>
      <c r="F5" s="35"/>
      <c r="G5" s="35"/>
      <c r="H5" s="35"/>
      <c r="I5" s="35"/>
      <c r="J5" s="35"/>
      <c r="K5" s="35"/>
      <c r="L5" s="35"/>
      <c r="M5" s="35"/>
      <c r="N5" s="35"/>
      <c r="O5" s="35"/>
      <c r="P5" s="35"/>
      <c r="Q5" s="35"/>
      <c r="R5" s="35"/>
      <c r="S5" s="35"/>
      <c r="T5" s="35"/>
      <c r="U5" s="35"/>
      <c r="V5" s="35"/>
      <c r="W5" s="35"/>
      <c r="X5" s="35"/>
    </row>
    <row r="6" spans="1:24" ht="12.75" customHeight="1" x14ac:dyDescent="0.2">
      <c r="A6" s="35"/>
      <c r="B6" s="35"/>
      <c r="C6" s="35"/>
      <c r="D6" s="35"/>
      <c r="E6" s="35"/>
      <c r="F6" s="35"/>
      <c r="G6" s="35"/>
      <c r="H6" s="35"/>
      <c r="I6" s="35"/>
      <c r="J6" s="35"/>
      <c r="K6" s="35"/>
      <c r="L6" s="35"/>
      <c r="M6" s="35"/>
      <c r="N6" s="35"/>
      <c r="O6" s="35"/>
      <c r="P6" s="35"/>
      <c r="Q6" s="35"/>
      <c r="R6" s="35"/>
      <c r="S6" s="35"/>
      <c r="T6" s="35"/>
      <c r="U6" s="35"/>
      <c r="V6" s="35"/>
      <c r="W6" s="35"/>
      <c r="X6" s="35"/>
    </row>
    <row r="7" spans="1:24" ht="12.75" customHeight="1" x14ac:dyDescent="0.2">
      <c r="A7" s="35"/>
      <c r="B7" s="35"/>
      <c r="C7" s="35"/>
      <c r="D7" s="35"/>
      <c r="E7" s="35"/>
      <c r="F7" s="35"/>
      <c r="G7" s="35"/>
      <c r="H7" s="35"/>
      <c r="I7" s="35"/>
      <c r="J7" s="35"/>
      <c r="K7" s="35"/>
      <c r="L7" s="35"/>
      <c r="M7" s="35"/>
      <c r="N7" s="35"/>
      <c r="O7" s="35"/>
      <c r="P7" s="35"/>
      <c r="Q7" s="35"/>
      <c r="R7" s="35"/>
      <c r="S7" s="35"/>
      <c r="T7" s="35"/>
      <c r="U7" s="35"/>
      <c r="V7" s="35"/>
      <c r="W7" s="35"/>
      <c r="X7" s="35"/>
    </row>
    <row r="8" spans="1:24" ht="12.75" customHeight="1" x14ac:dyDescent="0.2">
      <c r="A8" s="35"/>
      <c r="B8" s="35"/>
      <c r="C8" s="35"/>
      <c r="D8" s="35"/>
      <c r="E8" s="35"/>
      <c r="F8" s="35"/>
      <c r="G8" s="35"/>
      <c r="H8" s="35"/>
      <c r="I8" s="35"/>
      <c r="J8" s="35"/>
      <c r="K8" s="35"/>
      <c r="L8" s="35"/>
      <c r="M8" s="35"/>
      <c r="N8" s="35"/>
      <c r="O8" s="35"/>
      <c r="P8" s="35"/>
      <c r="Q8" s="35"/>
      <c r="R8" s="35"/>
      <c r="S8" s="35"/>
      <c r="T8" s="35"/>
      <c r="U8" s="35"/>
      <c r="V8" s="35"/>
      <c r="W8" s="35"/>
      <c r="X8" s="35"/>
    </row>
    <row r="9" spans="1:24" ht="12.75" customHeight="1" x14ac:dyDescent="0.2">
      <c r="A9" s="35"/>
      <c r="B9" s="35"/>
      <c r="C9" s="35"/>
      <c r="D9" s="35"/>
      <c r="E9" s="35"/>
      <c r="F9" s="35"/>
      <c r="G9" s="35"/>
      <c r="H9" s="35"/>
      <c r="I9" s="35"/>
      <c r="J9" s="35"/>
      <c r="K9" s="35"/>
      <c r="L9" s="35"/>
      <c r="M9" s="35"/>
      <c r="N9" s="35"/>
      <c r="O9" s="35"/>
      <c r="P9" s="35"/>
      <c r="Q9" s="35"/>
      <c r="R9" s="35"/>
      <c r="S9" s="35"/>
      <c r="T9" s="35"/>
      <c r="U9" s="35"/>
      <c r="V9" s="35"/>
      <c r="W9" s="35"/>
      <c r="X9" s="35"/>
    </row>
    <row r="10" spans="1:24" ht="21" customHeight="1" x14ac:dyDescent="0.2">
      <c r="A10" s="133" t="s">
        <v>96</v>
      </c>
      <c r="B10" s="133"/>
      <c r="C10" s="133"/>
      <c r="D10" s="133"/>
      <c r="E10" s="133"/>
      <c r="F10" s="133"/>
      <c r="G10" s="133"/>
      <c r="H10" s="133"/>
      <c r="I10" s="133"/>
      <c r="J10" s="133"/>
      <c r="K10" s="133"/>
      <c r="L10" s="133"/>
      <c r="M10" s="133"/>
      <c r="N10" s="133"/>
      <c r="O10" s="133"/>
      <c r="P10" s="133"/>
      <c r="Q10" s="133"/>
      <c r="R10" s="133"/>
      <c r="S10" s="133"/>
      <c r="T10" s="133"/>
      <c r="U10" s="133"/>
      <c r="V10" s="133"/>
      <c r="W10" s="133"/>
      <c r="X10" s="133"/>
    </row>
    <row r="11" spans="1:24" ht="15" x14ac:dyDescent="0.2">
      <c r="A11" s="130" t="s">
        <v>52</v>
      </c>
      <c r="B11" s="132"/>
      <c r="C11" s="130" t="s">
        <v>0</v>
      </c>
      <c r="D11" s="132"/>
      <c r="E11" s="130" t="s">
        <v>94</v>
      </c>
      <c r="F11" s="132"/>
      <c r="G11" s="130" t="s">
        <v>1</v>
      </c>
      <c r="H11" s="131"/>
      <c r="I11" s="46"/>
      <c r="K11" s="130" t="s">
        <v>2</v>
      </c>
      <c r="L11" s="131"/>
      <c r="M11" s="131"/>
      <c r="N11" s="131"/>
      <c r="O11" s="131"/>
      <c r="P11" s="131"/>
      <c r="Q11" s="131"/>
      <c r="R11" s="131"/>
      <c r="S11" s="132"/>
      <c r="T11" s="130" t="s">
        <v>3</v>
      </c>
      <c r="U11" s="131"/>
      <c r="V11" s="131"/>
      <c r="W11" s="132"/>
    </row>
    <row r="12" spans="1:24" ht="12.75" customHeight="1" x14ac:dyDescent="0.2">
      <c r="A12" s="170"/>
      <c r="B12" s="171"/>
      <c r="C12" s="123">
        <v>1</v>
      </c>
      <c r="D12" s="124"/>
      <c r="E12" s="128"/>
      <c r="F12" s="129"/>
      <c r="G12" s="112" t="str">
        <f>IF(ISBLANK(E12),"",E12)</f>
        <v/>
      </c>
      <c r="H12" s="113"/>
      <c r="I12" s="47"/>
      <c r="K12" s="175"/>
      <c r="L12" s="176"/>
      <c r="M12" s="134" t="str">
        <f>master!D3</f>
        <v>General Fatigue</v>
      </c>
      <c r="N12" s="135"/>
      <c r="O12" s="135"/>
      <c r="P12" s="135"/>
      <c r="Q12" s="135"/>
      <c r="R12" s="135"/>
      <c r="S12" s="136"/>
      <c r="T12" s="152" t="str">
        <f>IF(OR(ISBLANK(E12),ISBLANK(E16),ISBLANK(E23),ISBLANK(E27)),"",SUM(G12,G16,G23,G27))</f>
        <v/>
      </c>
      <c r="U12" s="153"/>
      <c r="V12" s="153"/>
      <c r="W12" s="154"/>
    </row>
    <row r="13" spans="1:24" ht="12.75" customHeight="1" x14ac:dyDescent="0.2">
      <c r="A13" s="166"/>
      <c r="B13" s="167"/>
      <c r="C13" s="123">
        <v>2</v>
      </c>
      <c r="D13" s="124"/>
      <c r="E13" s="128"/>
      <c r="F13" s="129"/>
      <c r="G13" s="112" t="str">
        <f>IF(ISBLANK(E13),"",6-E13)</f>
        <v/>
      </c>
      <c r="H13" s="113"/>
      <c r="I13" s="47"/>
      <c r="K13" s="177"/>
      <c r="L13" s="178"/>
      <c r="M13" s="137"/>
      <c r="N13" s="138"/>
      <c r="O13" s="138"/>
      <c r="P13" s="138"/>
      <c r="Q13" s="138"/>
      <c r="R13" s="138"/>
      <c r="S13" s="139"/>
      <c r="T13" s="155"/>
      <c r="U13" s="156"/>
      <c r="V13" s="156"/>
      <c r="W13" s="157"/>
    </row>
    <row r="14" spans="1:24" ht="12.75" customHeight="1" x14ac:dyDescent="0.2">
      <c r="A14" s="162"/>
      <c r="B14" s="163"/>
      <c r="C14" s="123">
        <v>3</v>
      </c>
      <c r="D14" s="124"/>
      <c r="E14" s="128"/>
      <c r="F14" s="129"/>
      <c r="G14" s="112" t="str">
        <f>IF(ISBLANK(E14),"",E14)</f>
        <v/>
      </c>
      <c r="H14" s="113"/>
      <c r="I14" s="48"/>
      <c r="K14" s="179"/>
      <c r="L14" s="180"/>
      <c r="M14" s="140"/>
      <c r="N14" s="141"/>
      <c r="O14" s="141"/>
      <c r="P14" s="141"/>
      <c r="Q14" s="141"/>
      <c r="R14" s="141"/>
      <c r="S14" s="142"/>
      <c r="T14" s="158"/>
      <c r="U14" s="159"/>
      <c r="V14" s="159"/>
      <c r="W14" s="160"/>
    </row>
    <row r="15" spans="1:24" ht="12.75" customHeight="1" x14ac:dyDescent="0.2">
      <c r="A15" s="168"/>
      <c r="B15" s="169"/>
      <c r="C15" s="123">
        <v>4</v>
      </c>
      <c r="D15" s="124"/>
      <c r="E15" s="128"/>
      <c r="F15" s="129"/>
      <c r="G15" s="112" t="str">
        <f>IF(ISBLANK(E15),"",E15)</f>
        <v/>
      </c>
      <c r="H15" s="113"/>
      <c r="I15" s="47"/>
      <c r="K15" s="173"/>
      <c r="L15" s="174"/>
      <c r="M15" s="143" t="str">
        <f>master!D4</f>
        <v>Physical Fatigue</v>
      </c>
      <c r="N15" s="144"/>
      <c r="O15" s="144"/>
      <c r="P15" s="144"/>
      <c r="Q15" s="144"/>
      <c r="R15" s="144"/>
      <c r="S15" s="145"/>
      <c r="T15" s="152" t="str">
        <f>IF(OR(ISBLANK(E13),ISBLANK(E19),ISBLANK(E25),ISBLANK(E31)),"",SUM(G13,G19,G25,G31))</f>
        <v/>
      </c>
      <c r="U15" s="153"/>
      <c r="V15" s="153"/>
      <c r="W15" s="154"/>
    </row>
    <row r="16" spans="1:24" ht="12.75" customHeight="1" x14ac:dyDescent="0.2">
      <c r="A16" s="170"/>
      <c r="B16" s="171"/>
      <c r="C16" s="123">
        <v>5</v>
      </c>
      <c r="D16" s="124"/>
      <c r="E16" s="128"/>
      <c r="F16" s="129"/>
      <c r="G16" s="112" t="str">
        <f>IF(ISBLANK(E16),"",6-E16)</f>
        <v/>
      </c>
      <c r="H16" s="113"/>
      <c r="I16" s="48"/>
      <c r="K16" s="181"/>
      <c r="L16" s="182"/>
      <c r="M16" s="146"/>
      <c r="N16" s="147"/>
      <c r="O16" s="147"/>
      <c r="P16" s="147"/>
      <c r="Q16" s="147"/>
      <c r="R16" s="147"/>
      <c r="S16" s="148"/>
      <c r="T16" s="155"/>
      <c r="U16" s="156"/>
      <c r="V16" s="156"/>
      <c r="W16" s="157"/>
    </row>
    <row r="17" spans="1:23" ht="12.75" customHeight="1" x14ac:dyDescent="0.2">
      <c r="A17" s="162"/>
      <c r="B17" s="163"/>
      <c r="C17" s="123">
        <v>6</v>
      </c>
      <c r="D17" s="124"/>
      <c r="E17" s="128"/>
      <c r="F17" s="129"/>
      <c r="G17" s="112" t="str">
        <f>IF(ISBLANK(E17),"",E17)</f>
        <v/>
      </c>
      <c r="H17" s="113"/>
      <c r="I17" s="47"/>
      <c r="K17" s="183"/>
      <c r="L17" s="184"/>
      <c r="M17" s="149"/>
      <c r="N17" s="150"/>
      <c r="O17" s="150"/>
      <c r="P17" s="150"/>
      <c r="Q17" s="150"/>
      <c r="R17" s="150"/>
      <c r="S17" s="151"/>
      <c r="T17" s="158"/>
      <c r="U17" s="159"/>
      <c r="V17" s="159"/>
      <c r="W17" s="160"/>
    </row>
    <row r="18" spans="1:23" ht="12.75" customHeight="1" x14ac:dyDescent="0.2">
      <c r="A18" s="164"/>
      <c r="B18" s="165"/>
      <c r="C18" s="123">
        <v>7</v>
      </c>
      <c r="D18" s="124"/>
      <c r="E18" s="128"/>
      <c r="F18" s="129"/>
      <c r="G18" s="112" t="str">
        <f>IF(ISBLANK(E18),"",E18)</f>
        <v/>
      </c>
      <c r="H18" s="113"/>
      <c r="I18" s="48"/>
      <c r="K18" s="185"/>
      <c r="L18" s="186"/>
      <c r="M18" s="134" t="str">
        <f>master!D5</f>
        <v>Reduced Activity</v>
      </c>
      <c r="N18" s="135"/>
      <c r="O18" s="135"/>
      <c r="P18" s="135"/>
      <c r="Q18" s="135"/>
      <c r="R18" s="135"/>
      <c r="S18" s="136"/>
      <c r="T18" s="152" t="str">
        <f>IF(OR(ISBLANK(E14),ISBLANK(E17),ISBLANK(E21),ISBLANK(E28)),"",SUM(G14,G17,G21,G28))</f>
        <v/>
      </c>
      <c r="U18" s="153"/>
      <c r="V18" s="153"/>
      <c r="W18" s="154"/>
    </row>
    <row r="19" spans="1:23" ht="12.75" customHeight="1" x14ac:dyDescent="0.2">
      <c r="A19" s="166"/>
      <c r="B19" s="167"/>
      <c r="C19" s="123">
        <v>8</v>
      </c>
      <c r="D19" s="124"/>
      <c r="E19" s="128"/>
      <c r="F19" s="129"/>
      <c r="G19" s="112" t="str">
        <f>IF(ISBLANK(E19),"",E19)</f>
        <v/>
      </c>
      <c r="H19" s="113"/>
      <c r="I19" s="47"/>
      <c r="K19" s="187"/>
      <c r="L19" s="188"/>
      <c r="M19" s="137"/>
      <c r="N19" s="138"/>
      <c r="O19" s="138"/>
      <c r="P19" s="138"/>
      <c r="Q19" s="138"/>
      <c r="R19" s="138"/>
      <c r="S19" s="139"/>
      <c r="T19" s="155"/>
      <c r="U19" s="156"/>
      <c r="V19" s="156"/>
      <c r="W19" s="157"/>
    </row>
    <row r="20" spans="1:23" ht="12.75" customHeight="1" x14ac:dyDescent="0.2">
      <c r="A20" s="168"/>
      <c r="B20" s="169"/>
      <c r="C20" s="123">
        <v>9</v>
      </c>
      <c r="D20" s="124"/>
      <c r="E20" s="128"/>
      <c r="F20" s="129"/>
      <c r="G20" s="112" t="str">
        <f>IF(ISBLANK(E20),"",6-E20)</f>
        <v/>
      </c>
      <c r="H20" s="113"/>
      <c r="I20" s="48"/>
      <c r="K20" s="189"/>
      <c r="L20" s="190"/>
      <c r="M20" s="140"/>
      <c r="N20" s="141"/>
      <c r="O20" s="141"/>
      <c r="P20" s="141"/>
      <c r="Q20" s="141"/>
      <c r="R20" s="141"/>
      <c r="S20" s="142"/>
      <c r="T20" s="158"/>
      <c r="U20" s="159"/>
      <c r="V20" s="159"/>
      <c r="W20" s="160"/>
    </row>
    <row r="21" spans="1:23" ht="12.75" customHeight="1" x14ac:dyDescent="0.2">
      <c r="A21" s="162"/>
      <c r="B21" s="163"/>
      <c r="C21" s="123">
        <v>10</v>
      </c>
      <c r="D21" s="124"/>
      <c r="E21" s="128"/>
      <c r="F21" s="129"/>
      <c r="G21" s="112" t="str">
        <f>IF(ISBLANK(E21),"",6-E21)</f>
        <v/>
      </c>
      <c r="H21" s="113"/>
      <c r="I21" s="48"/>
      <c r="K21" s="191"/>
      <c r="L21" s="192"/>
      <c r="M21" s="134" t="str">
        <f>master!D6</f>
        <v>Mental Fatigue</v>
      </c>
      <c r="N21" s="135"/>
      <c r="O21" s="135"/>
      <c r="P21" s="135"/>
      <c r="Q21" s="135"/>
      <c r="R21" s="135"/>
      <c r="S21" s="136"/>
      <c r="T21" s="152" t="str">
        <f>IF(OR(ISBLANK(E18),ISBLANK(E22),ISBLANK(E24),ISBLANK(E30)),"",SUM(G18,G22,G24,G30))</f>
        <v/>
      </c>
      <c r="U21" s="153"/>
      <c r="V21" s="153"/>
      <c r="W21" s="154"/>
    </row>
    <row r="22" spans="1:23" ht="12.75" customHeight="1" x14ac:dyDescent="0.2">
      <c r="A22" s="164"/>
      <c r="B22" s="165"/>
      <c r="C22" s="123">
        <v>11</v>
      </c>
      <c r="D22" s="124"/>
      <c r="E22" s="128"/>
      <c r="F22" s="129"/>
      <c r="G22" s="112" t="str">
        <f>IF(ISBLANK(E22),"",E22)</f>
        <v/>
      </c>
      <c r="H22" s="113"/>
      <c r="I22" s="48"/>
      <c r="K22" s="193"/>
      <c r="L22" s="194"/>
      <c r="M22" s="137"/>
      <c r="N22" s="138"/>
      <c r="O22" s="138"/>
      <c r="P22" s="138"/>
      <c r="Q22" s="138"/>
      <c r="R22" s="138"/>
      <c r="S22" s="139"/>
      <c r="T22" s="155"/>
      <c r="U22" s="156"/>
      <c r="V22" s="156"/>
      <c r="W22" s="157"/>
    </row>
    <row r="23" spans="1:23" ht="12.75" customHeight="1" x14ac:dyDescent="0.2">
      <c r="A23" s="170"/>
      <c r="B23" s="171"/>
      <c r="C23" s="123">
        <v>12</v>
      </c>
      <c r="D23" s="124"/>
      <c r="E23" s="128"/>
      <c r="F23" s="129"/>
      <c r="G23" s="112" t="str">
        <f>IF(ISBLANK(E23),"",E23)</f>
        <v/>
      </c>
      <c r="H23" s="113"/>
      <c r="I23" s="48"/>
      <c r="K23" s="195"/>
      <c r="L23" s="196"/>
      <c r="M23" s="140"/>
      <c r="N23" s="141"/>
      <c r="O23" s="141"/>
      <c r="P23" s="141"/>
      <c r="Q23" s="141"/>
      <c r="R23" s="141"/>
      <c r="S23" s="142"/>
      <c r="T23" s="158"/>
      <c r="U23" s="159"/>
      <c r="V23" s="159"/>
      <c r="W23" s="160"/>
    </row>
    <row r="24" spans="1:23" ht="12.75" customHeight="1" x14ac:dyDescent="0.2">
      <c r="A24" s="164"/>
      <c r="B24" s="165"/>
      <c r="C24" s="123">
        <v>13</v>
      </c>
      <c r="D24" s="124"/>
      <c r="E24" s="128"/>
      <c r="F24" s="129"/>
      <c r="G24" s="112" t="str">
        <f>IF(ISBLANK(E24),"",6-E24)</f>
        <v/>
      </c>
      <c r="H24" s="113"/>
      <c r="I24" s="47"/>
      <c r="K24" s="197"/>
      <c r="L24" s="198"/>
      <c r="M24" s="134" t="str">
        <f>master!D7</f>
        <v>Reduced Motivation</v>
      </c>
      <c r="N24" s="135"/>
      <c r="O24" s="135"/>
      <c r="P24" s="135"/>
      <c r="Q24" s="135"/>
      <c r="R24" s="135"/>
      <c r="S24" s="136"/>
      <c r="T24" s="152" t="str">
        <f>IF(OR(ISBLANK(E15),ISBLANK(E20),ISBLANK(E26),ISBLANK(E29)),"",SUM(G15,G20,G26,G29))</f>
        <v/>
      </c>
      <c r="U24" s="153"/>
      <c r="V24" s="153"/>
      <c r="W24" s="154"/>
    </row>
    <row r="25" spans="1:23" ht="12.75" customHeight="1" x14ac:dyDescent="0.2">
      <c r="A25" s="166"/>
      <c r="B25" s="167"/>
      <c r="C25" s="123">
        <v>14</v>
      </c>
      <c r="D25" s="124"/>
      <c r="E25" s="128"/>
      <c r="F25" s="129"/>
      <c r="G25" s="112" t="str">
        <f>IF(ISBLANK(E25),"",6-E25)</f>
        <v/>
      </c>
      <c r="H25" s="113"/>
      <c r="I25" s="48"/>
      <c r="K25" s="199"/>
      <c r="L25" s="200"/>
      <c r="M25" s="137"/>
      <c r="N25" s="138"/>
      <c r="O25" s="138"/>
      <c r="P25" s="138"/>
      <c r="Q25" s="138"/>
      <c r="R25" s="138"/>
      <c r="S25" s="139"/>
      <c r="T25" s="155"/>
      <c r="U25" s="156"/>
      <c r="V25" s="156"/>
      <c r="W25" s="157"/>
    </row>
    <row r="26" spans="1:23" ht="12.75" customHeight="1" x14ac:dyDescent="0.2">
      <c r="A26" s="168"/>
      <c r="B26" s="169"/>
      <c r="C26" s="123">
        <v>15</v>
      </c>
      <c r="D26" s="124"/>
      <c r="E26" s="128"/>
      <c r="F26" s="129"/>
      <c r="G26" s="112" t="str">
        <f>IF(ISBLANK(E26),"",E26)</f>
        <v/>
      </c>
      <c r="H26" s="113"/>
      <c r="I26" s="47"/>
      <c r="K26" s="201"/>
      <c r="L26" s="202"/>
      <c r="M26" s="140"/>
      <c r="N26" s="141"/>
      <c r="O26" s="141"/>
      <c r="P26" s="141"/>
      <c r="Q26" s="141"/>
      <c r="R26" s="141"/>
      <c r="S26" s="142"/>
      <c r="T26" s="158"/>
      <c r="U26" s="159"/>
      <c r="V26" s="159"/>
      <c r="W26" s="160"/>
    </row>
    <row r="27" spans="1:23" ht="12.75" customHeight="1" x14ac:dyDescent="0.2">
      <c r="A27" s="170"/>
      <c r="B27" s="171"/>
      <c r="C27" s="123">
        <v>16</v>
      </c>
      <c r="D27" s="124"/>
      <c r="E27" s="128"/>
      <c r="F27" s="129"/>
      <c r="G27" s="112" t="str">
        <f>IF(ISBLANK(E27),"",6-E27)</f>
        <v/>
      </c>
      <c r="H27" s="113"/>
      <c r="I27" s="47"/>
    </row>
    <row r="28" spans="1:23" ht="12.75" customHeight="1" x14ac:dyDescent="0.2">
      <c r="A28" s="162"/>
      <c r="B28" s="163"/>
      <c r="C28" s="123">
        <v>17</v>
      </c>
      <c r="D28" s="124"/>
      <c r="E28" s="128"/>
      <c r="F28" s="129"/>
      <c r="G28" s="112" t="str">
        <f>IF(ISBLANK(E28),"",6-E28)</f>
        <v/>
      </c>
      <c r="H28" s="113"/>
      <c r="I28" s="47"/>
    </row>
    <row r="29" spans="1:23" ht="12.75" customHeight="1" x14ac:dyDescent="0.2">
      <c r="A29" s="168"/>
      <c r="B29" s="169"/>
      <c r="C29" s="123">
        <v>18</v>
      </c>
      <c r="D29" s="124"/>
      <c r="E29" s="117"/>
      <c r="F29" s="118"/>
      <c r="G29" s="112" t="str">
        <f>IF(ISBLANK(E29),"",6-E29)</f>
        <v/>
      </c>
      <c r="H29" s="113"/>
      <c r="I29" s="48"/>
    </row>
    <row r="30" spans="1:23" ht="12.75" customHeight="1" x14ac:dyDescent="0.2">
      <c r="A30" s="164"/>
      <c r="B30" s="165"/>
      <c r="C30" s="123">
        <v>19</v>
      </c>
      <c r="D30" s="124"/>
      <c r="E30" s="117"/>
      <c r="F30" s="118"/>
      <c r="G30" s="112" t="str">
        <f>IF(ISBLANK(E30),"",6-E30)</f>
        <v/>
      </c>
      <c r="H30" s="113"/>
      <c r="I30" s="48"/>
    </row>
    <row r="31" spans="1:23" ht="12.75" customHeight="1" x14ac:dyDescent="0.2">
      <c r="A31" s="173"/>
      <c r="B31" s="174"/>
      <c r="C31" s="125">
        <v>20</v>
      </c>
      <c r="D31" s="126"/>
      <c r="E31" s="119"/>
      <c r="F31" s="120"/>
      <c r="G31" s="112" t="str">
        <f>IF(ISBLANK(E31),"",E31)</f>
        <v/>
      </c>
      <c r="H31" s="113"/>
      <c r="I31" s="48"/>
    </row>
    <row r="32" spans="1:23" ht="12.75" customHeight="1" x14ac:dyDescent="0.2">
      <c r="A32" s="203"/>
      <c r="B32" s="203"/>
      <c r="C32" s="161"/>
      <c r="D32" s="161"/>
      <c r="E32" s="121"/>
      <c r="F32" s="121"/>
      <c r="G32" s="114"/>
      <c r="H32" s="114"/>
      <c r="I32" s="69"/>
    </row>
    <row r="33" spans="1:23" ht="12.75" customHeight="1" x14ac:dyDescent="0.2">
      <c r="A33" s="172"/>
      <c r="B33" s="172"/>
      <c r="C33" s="127"/>
      <c r="D33" s="127"/>
      <c r="E33" s="122"/>
      <c r="F33" s="122"/>
      <c r="G33" s="115"/>
      <c r="H33" s="115"/>
      <c r="I33" s="69"/>
    </row>
    <row r="34" spans="1:23" ht="12.75" customHeight="1" x14ac:dyDescent="0.2">
      <c r="A34" s="172"/>
      <c r="B34" s="172"/>
      <c r="C34" s="127"/>
      <c r="D34" s="127"/>
      <c r="E34" s="122"/>
      <c r="F34" s="122"/>
      <c r="G34" s="115"/>
      <c r="H34" s="115"/>
      <c r="I34" s="69"/>
    </row>
    <row r="35" spans="1:23" ht="12.75" customHeight="1" x14ac:dyDescent="0.2">
      <c r="A35" s="172"/>
      <c r="B35" s="172"/>
      <c r="C35" s="127"/>
      <c r="D35" s="127"/>
      <c r="E35" s="122"/>
      <c r="F35" s="122"/>
      <c r="G35" s="115"/>
      <c r="H35" s="115"/>
      <c r="I35" s="69"/>
    </row>
    <row r="36" spans="1:23" ht="12.75" customHeight="1" x14ac:dyDescent="0.2">
      <c r="A36" s="172"/>
      <c r="B36" s="172"/>
      <c r="C36" s="127"/>
      <c r="D36" s="127"/>
      <c r="E36" s="122"/>
      <c r="F36" s="122"/>
      <c r="G36" s="115"/>
      <c r="H36" s="115"/>
      <c r="I36" s="69"/>
    </row>
    <row r="37" spans="1:23" ht="12.75" customHeight="1" x14ac:dyDescent="0.2">
      <c r="A37" s="172"/>
      <c r="B37" s="172"/>
      <c r="C37" s="127"/>
      <c r="D37" s="127"/>
      <c r="E37" s="122"/>
      <c r="F37" s="122"/>
      <c r="G37" s="115"/>
      <c r="H37" s="115"/>
      <c r="I37" s="69"/>
      <c r="S37" s="110" t="s">
        <v>182</v>
      </c>
      <c r="T37" s="110"/>
      <c r="U37" s="110"/>
      <c r="V37" s="110"/>
      <c r="W37" s="110"/>
    </row>
    <row r="38" spans="1:23" ht="12.75" customHeight="1" x14ac:dyDescent="0.2">
      <c r="A38" s="172"/>
      <c r="B38" s="172"/>
      <c r="C38" s="127"/>
      <c r="D38" s="127"/>
      <c r="E38" s="122"/>
      <c r="F38" s="122"/>
      <c r="G38" s="115"/>
      <c r="H38" s="115"/>
      <c r="I38" s="69"/>
      <c r="S38" s="110" t="s">
        <v>97</v>
      </c>
      <c r="T38" s="110"/>
      <c r="U38" s="110"/>
      <c r="V38" s="110"/>
      <c r="W38" s="110"/>
    </row>
    <row r="39" spans="1:23" ht="12.75" customHeight="1" x14ac:dyDescent="0.2">
      <c r="A39" s="172"/>
      <c r="B39" s="172"/>
      <c r="C39" s="127"/>
      <c r="D39" s="127"/>
      <c r="E39" s="122"/>
      <c r="F39" s="122"/>
      <c r="G39" s="115"/>
      <c r="H39" s="115"/>
      <c r="I39" s="69"/>
    </row>
    <row r="40" spans="1:23" ht="12.75" customHeight="1" x14ac:dyDescent="0.2">
      <c r="A40" s="172"/>
      <c r="B40" s="172"/>
      <c r="C40" s="127"/>
      <c r="D40" s="127"/>
      <c r="E40" s="122"/>
      <c r="F40" s="122"/>
      <c r="G40" s="115"/>
      <c r="H40" s="115"/>
      <c r="I40" s="69"/>
    </row>
    <row r="41" spans="1:23" ht="12.75" customHeight="1" x14ac:dyDescent="0.2">
      <c r="A41" s="172"/>
      <c r="B41" s="172"/>
      <c r="C41" s="127"/>
      <c r="D41" s="127"/>
      <c r="E41" s="122"/>
      <c r="F41" s="122"/>
      <c r="G41" s="115"/>
      <c r="H41" s="115"/>
      <c r="I41" s="69"/>
    </row>
    <row r="42" spans="1:23" ht="12.75" customHeight="1" x14ac:dyDescent="0.2">
      <c r="A42" s="172"/>
      <c r="B42" s="172"/>
      <c r="C42" s="127"/>
      <c r="D42" s="127"/>
      <c r="E42" s="111"/>
      <c r="F42" s="111"/>
      <c r="G42" s="116"/>
      <c r="H42" s="116"/>
      <c r="I42" s="70"/>
    </row>
    <row r="43" spans="1:23" ht="12.75" customHeight="1" x14ac:dyDescent="0.2">
      <c r="A43" s="172"/>
      <c r="B43" s="172"/>
      <c r="C43" s="127"/>
      <c r="D43" s="127"/>
      <c r="E43" s="111"/>
      <c r="F43" s="111"/>
      <c r="G43" s="116"/>
      <c r="H43" s="116"/>
      <c r="I43" s="70"/>
    </row>
    <row r="44" spans="1:23" ht="12.75" customHeight="1" x14ac:dyDescent="0.2">
      <c r="A44" s="172"/>
      <c r="B44" s="172"/>
      <c r="C44" s="127"/>
      <c r="D44" s="127"/>
      <c r="E44" s="111"/>
      <c r="F44" s="111"/>
      <c r="G44" s="116"/>
      <c r="H44" s="116"/>
      <c r="I44" s="70"/>
    </row>
    <row r="45" spans="1:23" ht="12.75" customHeight="1" x14ac:dyDescent="0.2">
      <c r="A45" s="172"/>
      <c r="B45" s="172"/>
      <c r="C45" s="127"/>
      <c r="D45" s="127"/>
      <c r="E45" s="111"/>
      <c r="F45" s="111"/>
      <c r="G45" s="116"/>
      <c r="H45" s="116"/>
      <c r="I45" s="70"/>
    </row>
    <row r="46" spans="1:23" ht="12.75" customHeight="1" x14ac:dyDescent="0.2">
      <c r="A46" s="172"/>
      <c r="B46" s="172"/>
      <c r="C46" s="127"/>
      <c r="D46" s="127"/>
      <c r="E46" s="111"/>
      <c r="F46" s="111"/>
      <c r="G46" s="116"/>
      <c r="H46" s="116"/>
      <c r="I46" s="70"/>
    </row>
    <row r="47" spans="1:23" ht="12.75" customHeight="1" x14ac:dyDescent="0.2">
      <c r="A47" s="172"/>
      <c r="B47" s="172"/>
      <c r="C47" s="127"/>
      <c r="D47" s="127"/>
      <c r="E47" s="111"/>
      <c r="F47" s="111"/>
      <c r="G47" s="116"/>
      <c r="H47" s="116"/>
      <c r="I47" s="70"/>
    </row>
    <row r="48" spans="1:23" ht="12.75" customHeight="1" x14ac:dyDescent="0.2">
      <c r="A48" s="172"/>
      <c r="B48" s="172"/>
      <c r="C48" s="127"/>
      <c r="D48" s="127"/>
      <c r="E48" s="111"/>
      <c r="F48" s="111"/>
      <c r="G48" s="116"/>
      <c r="H48" s="116"/>
      <c r="I48" s="70"/>
    </row>
    <row r="49" spans="1:23" ht="12.75" customHeight="1" x14ac:dyDescent="0.2">
      <c r="A49" s="172"/>
      <c r="B49" s="172"/>
      <c r="C49" s="127"/>
      <c r="D49" s="127"/>
      <c r="E49" s="111"/>
      <c r="F49" s="111"/>
      <c r="G49" s="116"/>
      <c r="H49" s="116"/>
      <c r="I49" s="71"/>
      <c r="J49" s="52"/>
      <c r="K49" s="40"/>
      <c r="L49" s="40"/>
      <c r="M49" s="40"/>
      <c r="N49" s="40"/>
      <c r="O49" s="40"/>
      <c r="P49" s="40"/>
      <c r="Q49" s="40"/>
      <c r="R49" s="40"/>
    </row>
    <row r="50" spans="1:23" x14ac:dyDescent="0.2">
      <c r="A50" s="3"/>
      <c r="B50" s="3"/>
      <c r="C50" s="3"/>
      <c r="D50" s="3"/>
      <c r="E50" s="3"/>
      <c r="F50" s="3"/>
      <c r="G50" s="3"/>
      <c r="H50" s="3"/>
      <c r="I50" s="3"/>
    </row>
    <row r="51" spans="1:23" x14ac:dyDescent="0.2">
      <c r="A51" s="3"/>
      <c r="B51" s="3"/>
      <c r="C51" s="3"/>
      <c r="D51" s="3"/>
      <c r="E51" s="3"/>
      <c r="F51" s="3"/>
      <c r="G51" s="3"/>
      <c r="H51" s="3"/>
      <c r="I51" s="3"/>
    </row>
    <row r="52" spans="1:23" x14ac:dyDescent="0.2">
      <c r="A52" s="3"/>
      <c r="B52" s="3"/>
      <c r="C52" s="3"/>
      <c r="D52" s="3"/>
      <c r="E52" s="3"/>
      <c r="F52" s="3"/>
      <c r="G52" s="3"/>
      <c r="H52" s="3"/>
      <c r="I52" s="3"/>
    </row>
    <row r="53" spans="1:23" x14ac:dyDescent="0.2">
      <c r="A53" s="3"/>
      <c r="B53" s="3"/>
      <c r="C53" s="3"/>
      <c r="D53" s="3"/>
      <c r="E53" s="3"/>
      <c r="F53" s="3"/>
      <c r="G53" s="3"/>
      <c r="H53" s="3"/>
      <c r="I53" s="3"/>
    </row>
    <row r="54" spans="1:23" x14ac:dyDescent="0.2">
      <c r="A54" s="5"/>
      <c r="B54" s="5"/>
      <c r="C54" s="5"/>
      <c r="D54" s="5"/>
      <c r="E54" s="5"/>
      <c r="F54" s="5"/>
      <c r="G54" s="5"/>
      <c r="H54" s="5"/>
      <c r="I54" s="6"/>
      <c r="J54" s="6"/>
      <c r="K54" s="6"/>
      <c r="L54" s="6"/>
      <c r="M54" s="6"/>
      <c r="N54" s="6"/>
      <c r="O54" s="6"/>
      <c r="P54" s="6"/>
      <c r="Q54" s="6"/>
      <c r="R54" s="6"/>
      <c r="S54" s="6"/>
      <c r="T54" s="6"/>
      <c r="U54" s="6"/>
      <c r="V54" s="6"/>
      <c r="W54" s="6"/>
    </row>
    <row r="55" spans="1:23" x14ac:dyDescent="0.2">
      <c r="A55" s="5"/>
      <c r="B55" s="5"/>
      <c r="C55" s="5"/>
      <c r="D55" s="5"/>
      <c r="E55" s="5"/>
      <c r="F55" s="5"/>
      <c r="G55" s="5"/>
      <c r="H55" s="5"/>
      <c r="I55" s="6"/>
      <c r="J55" s="6"/>
      <c r="K55" s="6"/>
      <c r="L55" s="6"/>
      <c r="M55" s="6"/>
      <c r="N55" s="6"/>
      <c r="O55" s="6"/>
      <c r="P55" s="6"/>
      <c r="Q55" s="6"/>
      <c r="R55" s="6"/>
      <c r="S55" s="6"/>
      <c r="T55" s="6"/>
      <c r="U55" s="6"/>
      <c r="V55" s="6"/>
      <c r="W55" s="6"/>
    </row>
    <row r="56" spans="1:23" x14ac:dyDescent="0.2">
      <c r="A56" s="5"/>
      <c r="B56" s="5"/>
      <c r="C56" s="5"/>
      <c r="D56" s="5"/>
      <c r="E56" s="5"/>
      <c r="F56" s="5"/>
      <c r="G56" s="5"/>
      <c r="H56" s="5"/>
      <c r="I56" s="6"/>
      <c r="J56" s="6"/>
      <c r="K56" s="6"/>
      <c r="L56" s="6"/>
      <c r="M56" s="6"/>
      <c r="N56" s="6"/>
      <c r="O56" s="6"/>
      <c r="P56" s="6"/>
      <c r="Q56" s="6"/>
      <c r="R56" s="6"/>
      <c r="S56" s="6"/>
      <c r="T56" s="6"/>
      <c r="U56" s="6"/>
      <c r="V56" s="6"/>
      <c r="W56" s="6"/>
    </row>
    <row r="57" spans="1:23" x14ac:dyDescent="0.2">
      <c r="A57" s="5"/>
      <c r="B57" s="5"/>
      <c r="C57" s="5"/>
      <c r="D57" s="5"/>
      <c r="E57" s="5"/>
      <c r="F57" s="5"/>
      <c r="G57" s="5"/>
      <c r="H57" s="5"/>
      <c r="I57" s="6"/>
      <c r="J57" s="6"/>
      <c r="K57" s="6"/>
      <c r="L57" s="6"/>
      <c r="M57" s="6"/>
      <c r="N57" s="6"/>
      <c r="O57" s="6"/>
      <c r="P57" s="6"/>
      <c r="Q57" s="6"/>
      <c r="R57" s="6"/>
      <c r="S57" s="6"/>
      <c r="T57" s="6"/>
      <c r="U57" s="6"/>
      <c r="V57" s="6"/>
      <c r="W57" s="6"/>
    </row>
    <row r="58" spans="1:23" x14ac:dyDescent="0.2">
      <c r="A58" s="5"/>
      <c r="B58" s="5"/>
      <c r="C58" s="5"/>
      <c r="D58" s="5"/>
      <c r="E58" s="5"/>
      <c r="F58" s="5"/>
      <c r="G58" s="5"/>
      <c r="H58" s="5"/>
      <c r="I58" s="6"/>
      <c r="J58" s="6"/>
      <c r="K58" s="6"/>
      <c r="L58" s="6"/>
      <c r="M58" s="6"/>
      <c r="N58" s="6"/>
      <c r="O58" s="6"/>
      <c r="P58" s="6"/>
      <c r="Q58" s="6"/>
      <c r="R58" s="6"/>
      <c r="S58" s="6"/>
      <c r="T58" s="6"/>
      <c r="U58" s="6"/>
      <c r="V58" s="6"/>
      <c r="W58" s="6"/>
    </row>
    <row r="59" spans="1:23" x14ac:dyDescent="0.2">
      <c r="A59" s="5"/>
      <c r="B59" s="5"/>
      <c r="C59" s="5"/>
      <c r="D59" s="5"/>
      <c r="E59" s="5"/>
      <c r="F59" s="5"/>
      <c r="G59" s="5"/>
      <c r="H59" s="5"/>
      <c r="I59" s="6"/>
      <c r="J59" s="6"/>
      <c r="K59" s="6"/>
      <c r="L59" s="6"/>
      <c r="M59" s="6"/>
      <c r="N59" s="6"/>
      <c r="O59" s="6"/>
      <c r="P59" s="6"/>
      <c r="Q59" s="6"/>
      <c r="R59" s="6"/>
      <c r="S59" s="6"/>
      <c r="T59" s="6"/>
      <c r="U59" s="6"/>
      <c r="V59" s="6"/>
      <c r="W59" s="6"/>
    </row>
    <row r="60" spans="1:23" x14ac:dyDescent="0.2">
      <c r="A60" s="5"/>
      <c r="B60" s="5"/>
      <c r="C60" s="5"/>
      <c r="D60" s="5"/>
      <c r="E60" s="5"/>
      <c r="F60" s="5"/>
      <c r="G60" s="5"/>
      <c r="H60" s="5"/>
      <c r="I60" s="6"/>
      <c r="J60" s="6"/>
      <c r="K60" s="6"/>
      <c r="L60" s="6"/>
      <c r="M60" s="6"/>
      <c r="N60" s="6"/>
      <c r="O60" s="6"/>
      <c r="P60" s="6"/>
      <c r="Q60" s="6"/>
      <c r="R60" s="6"/>
      <c r="S60" s="6"/>
      <c r="T60" s="6"/>
      <c r="U60" s="6"/>
      <c r="V60" s="6"/>
      <c r="W60" s="6"/>
    </row>
    <row r="61" spans="1:23" x14ac:dyDescent="0.2">
      <c r="A61" s="5"/>
      <c r="B61" s="5"/>
      <c r="C61" s="5"/>
      <c r="D61" s="5"/>
      <c r="E61" s="5"/>
      <c r="F61" s="5"/>
      <c r="G61" s="5"/>
      <c r="H61" s="5"/>
      <c r="I61" s="6"/>
      <c r="J61" s="6"/>
      <c r="K61" s="6"/>
      <c r="L61" s="6"/>
      <c r="M61" s="6"/>
      <c r="N61" s="6"/>
      <c r="O61" s="6"/>
      <c r="P61" s="6"/>
      <c r="Q61" s="6"/>
      <c r="R61" s="6"/>
      <c r="S61" s="6"/>
      <c r="T61" s="6"/>
      <c r="U61" s="6"/>
      <c r="V61" s="6"/>
      <c r="W61" s="6"/>
    </row>
    <row r="62" spans="1:23" x14ac:dyDescent="0.2">
      <c r="A62" s="5"/>
      <c r="B62" s="5"/>
      <c r="C62" s="5"/>
      <c r="D62" s="5"/>
      <c r="E62" s="5"/>
      <c r="F62" s="5"/>
      <c r="G62" s="5"/>
      <c r="H62" s="5"/>
      <c r="I62" s="6"/>
      <c r="J62" s="6"/>
      <c r="K62" s="6"/>
      <c r="L62" s="6"/>
      <c r="M62" s="6"/>
      <c r="N62" s="6"/>
      <c r="O62" s="6"/>
      <c r="P62" s="6"/>
      <c r="Q62" s="6"/>
      <c r="R62" s="6"/>
      <c r="S62" s="6"/>
      <c r="T62" s="6"/>
      <c r="U62" s="6"/>
      <c r="V62" s="6"/>
      <c r="W62" s="6"/>
    </row>
    <row r="63" spans="1:23" x14ac:dyDescent="0.2">
      <c r="A63" s="5"/>
      <c r="B63" s="5"/>
      <c r="C63" s="5"/>
      <c r="D63" s="5"/>
      <c r="E63" s="5"/>
      <c r="F63" s="5"/>
      <c r="G63" s="5"/>
      <c r="H63" s="5"/>
      <c r="I63" s="6"/>
      <c r="J63" s="6"/>
      <c r="K63" s="6"/>
      <c r="L63" s="6"/>
      <c r="M63" s="6"/>
      <c r="N63" s="6"/>
      <c r="O63" s="6"/>
      <c r="P63" s="6"/>
      <c r="Q63" s="6"/>
      <c r="R63" s="6"/>
      <c r="S63" s="6"/>
      <c r="T63" s="6"/>
      <c r="U63" s="6"/>
      <c r="V63" s="6"/>
      <c r="W63" s="6"/>
    </row>
    <row r="64" spans="1:23" x14ac:dyDescent="0.2">
      <c r="A64" s="5"/>
      <c r="B64" s="5"/>
      <c r="C64" s="5"/>
      <c r="D64" s="5"/>
      <c r="E64" s="5"/>
      <c r="F64" s="5"/>
      <c r="G64" s="5"/>
      <c r="H64" s="5"/>
      <c r="I64" s="6"/>
      <c r="J64" s="6"/>
      <c r="K64" s="6"/>
      <c r="L64" s="6"/>
      <c r="M64" s="6"/>
      <c r="N64" s="6"/>
      <c r="O64" s="6"/>
      <c r="P64" s="6"/>
      <c r="Q64" s="6"/>
      <c r="R64" s="6"/>
      <c r="S64" s="6"/>
      <c r="T64" s="6"/>
      <c r="U64" s="6"/>
      <c r="V64" s="6"/>
      <c r="W64" s="6"/>
    </row>
    <row r="65" spans="1:23" x14ac:dyDescent="0.2">
      <c r="A65" s="5"/>
      <c r="B65" s="5"/>
      <c r="C65" s="5"/>
      <c r="D65" s="5"/>
      <c r="E65" s="5"/>
      <c r="F65" s="5"/>
      <c r="G65" s="5"/>
      <c r="H65" s="5"/>
      <c r="I65" s="6"/>
      <c r="J65" s="6"/>
      <c r="K65" s="6"/>
      <c r="L65" s="6"/>
      <c r="M65" s="6"/>
      <c r="N65" s="6"/>
      <c r="O65" s="6"/>
      <c r="P65" s="6"/>
      <c r="Q65" s="6"/>
      <c r="R65" s="6"/>
      <c r="S65" s="6"/>
      <c r="T65" s="6"/>
      <c r="U65" s="6"/>
      <c r="V65" s="6"/>
      <c r="W65" s="6"/>
    </row>
    <row r="66" spans="1:23" x14ac:dyDescent="0.2">
      <c r="A66" s="5"/>
      <c r="B66" s="5"/>
      <c r="C66" s="5"/>
      <c r="D66" s="5"/>
      <c r="E66" s="5"/>
      <c r="F66" s="5"/>
      <c r="G66" s="5"/>
      <c r="H66" s="5"/>
      <c r="I66" s="6"/>
      <c r="J66" s="6"/>
      <c r="K66" s="6"/>
      <c r="L66" s="6"/>
      <c r="M66" s="6"/>
      <c r="N66" s="6"/>
      <c r="O66" s="6"/>
      <c r="P66" s="6"/>
      <c r="Q66" s="6"/>
      <c r="R66" s="6"/>
      <c r="S66" s="6"/>
      <c r="T66" s="6"/>
      <c r="U66" s="6"/>
      <c r="V66" s="6"/>
      <c r="W66" s="6"/>
    </row>
    <row r="67" spans="1:23" x14ac:dyDescent="0.2">
      <c r="A67" s="5"/>
      <c r="B67" s="5"/>
      <c r="C67" s="5"/>
      <c r="D67" s="5"/>
      <c r="E67" s="5"/>
      <c r="F67" s="5"/>
      <c r="G67" s="5"/>
      <c r="H67" s="5"/>
      <c r="I67" s="6"/>
      <c r="J67" s="6"/>
      <c r="K67" s="6"/>
      <c r="L67" s="6"/>
      <c r="M67" s="6"/>
      <c r="N67" s="6"/>
      <c r="O67" s="6"/>
      <c r="P67" s="6"/>
      <c r="Q67" s="6"/>
      <c r="R67" s="6"/>
      <c r="S67" s="6"/>
      <c r="T67" s="6"/>
      <c r="U67" s="6"/>
      <c r="V67" s="6"/>
      <c r="W67" s="6"/>
    </row>
    <row r="68" spans="1:23" x14ac:dyDescent="0.2">
      <c r="A68" s="5"/>
      <c r="B68" s="5"/>
      <c r="C68" s="5"/>
      <c r="D68" s="5"/>
      <c r="E68" s="5"/>
      <c r="F68" s="5"/>
      <c r="G68" s="5"/>
      <c r="H68" s="5"/>
      <c r="I68" s="6"/>
      <c r="J68" s="6"/>
      <c r="K68" s="6"/>
      <c r="L68" s="6"/>
      <c r="M68" s="6"/>
      <c r="N68" s="6"/>
      <c r="O68" s="6"/>
      <c r="P68" s="6"/>
      <c r="Q68" s="6"/>
      <c r="R68" s="6"/>
      <c r="S68" s="6"/>
      <c r="T68" s="6"/>
      <c r="U68" s="6"/>
      <c r="V68" s="6"/>
      <c r="W68" s="6"/>
    </row>
    <row r="69" spans="1:23" x14ac:dyDescent="0.2">
      <c r="A69" s="5"/>
      <c r="B69" s="5"/>
      <c r="C69" s="5"/>
      <c r="D69" s="5"/>
      <c r="E69" s="5"/>
      <c r="F69" s="5"/>
      <c r="G69" s="5"/>
      <c r="H69" s="5"/>
      <c r="I69" s="6"/>
      <c r="J69" s="6"/>
      <c r="K69" s="6"/>
      <c r="L69" s="6"/>
      <c r="M69" s="6"/>
      <c r="N69" s="6"/>
      <c r="O69" s="6"/>
      <c r="P69" s="6"/>
      <c r="Q69" s="6"/>
      <c r="R69" s="6"/>
      <c r="S69" s="6"/>
      <c r="T69" s="6"/>
      <c r="U69" s="6"/>
      <c r="V69" s="6"/>
      <c r="W69" s="6"/>
    </row>
  </sheetData>
  <sheetProtection algorithmName="SHA-512" hashValue="hNp7C96C8d6etX9kbzYnTMrAFnelS6lbyZ/u87gD9NYF+qj4bfk/B1rBV2kkRxnSjBxM+ABli4ayKoPRS760Fw==" saltValue="VAVYik8NBqVXA8L8jbnuNg==" spinCount="100000" sheet="1" objects="1" scenarios="1" selectLockedCells="1"/>
  <mergeCells count="178">
    <mergeCell ref="G47:H47"/>
    <mergeCell ref="G48:H48"/>
    <mergeCell ref="G49:H49"/>
    <mergeCell ref="G34:H34"/>
    <mergeCell ref="G35:H35"/>
    <mergeCell ref="G36:H36"/>
    <mergeCell ref="G37:H37"/>
    <mergeCell ref="G38:H38"/>
    <mergeCell ref="G39:H39"/>
    <mergeCell ref="A3:X4"/>
    <mergeCell ref="K11:S11"/>
    <mergeCell ref="K12:L14"/>
    <mergeCell ref="K15:L17"/>
    <mergeCell ref="K18:L20"/>
    <mergeCell ref="K21:L23"/>
    <mergeCell ref="K24:L26"/>
    <mergeCell ref="G44:H44"/>
    <mergeCell ref="G45:H45"/>
    <mergeCell ref="G16:H16"/>
    <mergeCell ref="G17:H17"/>
    <mergeCell ref="G18:H18"/>
    <mergeCell ref="G19:H19"/>
    <mergeCell ref="G20:H20"/>
    <mergeCell ref="G21:H21"/>
    <mergeCell ref="E45:F45"/>
    <mergeCell ref="A32:B32"/>
    <mergeCell ref="A33:B33"/>
    <mergeCell ref="A34:B34"/>
    <mergeCell ref="A23:B23"/>
    <mergeCell ref="A24:B24"/>
    <mergeCell ref="A25:B25"/>
    <mergeCell ref="A26:B26"/>
    <mergeCell ref="A27:B27"/>
    <mergeCell ref="E46:F46"/>
    <mergeCell ref="E47:F47"/>
    <mergeCell ref="E48:F48"/>
    <mergeCell ref="E49:F49"/>
    <mergeCell ref="G11:H11"/>
    <mergeCell ref="G12:H12"/>
    <mergeCell ref="G13:H13"/>
    <mergeCell ref="G14:H14"/>
    <mergeCell ref="G15:H15"/>
    <mergeCell ref="E33:F33"/>
    <mergeCell ref="E34:F34"/>
    <mergeCell ref="E35:F35"/>
    <mergeCell ref="E36:F36"/>
    <mergeCell ref="E37:F37"/>
    <mergeCell ref="E38:F38"/>
    <mergeCell ref="E21:F21"/>
    <mergeCell ref="E22:F22"/>
    <mergeCell ref="E23:F23"/>
    <mergeCell ref="E24:F24"/>
    <mergeCell ref="E25:F25"/>
    <mergeCell ref="E26:F26"/>
    <mergeCell ref="G40:H40"/>
    <mergeCell ref="E41:F41"/>
    <mergeCell ref="G46:H46"/>
    <mergeCell ref="A47:B47"/>
    <mergeCell ref="A48:B48"/>
    <mergeCell ref="A49:B49"/>
    <mergeCell ref="E11:F11"/>
    <mergeCell ref="E12:F12"/>
    <mergeCell ref="E13:F13"/>
    <mergeCell ref="E14:F14"/>
    <mergeCell ref="E15:F15"/>
    <mergeCell ref="E16:F16"/>
    <mergeCell ref="A41:B41"/>
    <mergeCell ref="A42:B42"/>
    <mergeCell ref="A43:B43"/>
    <mergeCell ref="A44:B44"/>
    <mergeCell ref="A45:B45"/>
    <mergeCell ref="A46:B46"/>
    <mergeCell ref="A35:B35"/>
    <mergeCell ref="A36:B36"/>
    <mergeCell ref="A37:B37"/>
    <mergeCell ref="A38:B38"/>
    <mergeCell ref="A39:B39"/>
    <mergeCell ref="A40:B40"/>
    <mergeCell ref="A29:B29"/>
    <mergeCell ref="A30:B30"/>
    <mergeCell ref="A31:B31"/>
    <mergeCell ref="A28:B28"/>
    <mergeCell ref="A17:B17"/>
    <mergeCell ref="A18:B18"/>
    <mergeCell ref="A19:B19"/>
    <mergeCell ref="A20:B20"/>
    <mergeCell ref="A21:B21"/>
    <mergeCell ref="A22:B22"/>
    <mergeCell ref="A11:B11"/>
    <mergeCell ref="A12:B12"/>
    <mergeCell ref="A13:B13"/>
    <mergeCell ref="A14:B14"/>
    <mergeCell ref="A15:B15"/>
    <mergeCell ref="A16:B16"/>
    <mergeCell ref="C44:D44"/>
    <mergeCell ref="C45:D45"/>
    <mergeCell ref="C46:D46"/>
    <mergeCell ref="C47:D47"/>
    <mergeCell ref="C48:D48"/>
    <mergeCell ref="C49:D49"/>
    <mergeCell ref="C32:D32"/>
    <mergeCell ref="C33:D33"/>
    <mergeCell ref="C34:D34"/>
    <mergeCell ref="C35:D35"/>
    <mergeCell ref="C36:D36"/>
    <mergeCell ref="C37:D37"/>
    <mergeCell ref="C42:D42"/>
    <mergeCell ref="C43:D43"/>
    <mergeCell ref="C21:D21"/>
    <mergeCell ref="C22:D22"/>
    <mergeCell ref="C23:D23"/>
    <mergeCell ref="C24:D24"/>
    <mergeCell ref="C25:D25"/>
    <mergeCell ref="C26:D26"/>
    <mergeCell ref="C11:D11"/>
    <mergeCell ref="C12:D12"/>
    <mergeCell ref="C13:D13"/>
    <mergeCell ref="C14:D14"/>
    <mergeCell ref="C15:D15"/>
    <mergeCell ref="C16:D16"/>
    <mergeCell ref="T11:W11"/>
    <mergeCell ref="A1:X2"/>
    <mergeCell ref="A10:X10"/>
    <mergeCell ref="C17:D17"/>
    <mergeCell ref="C18:D18"/>
    <mergeCell ref="C19:D19"/>
    <mergeCell ref="C20:D20"/>
    <mergeCell ref="C27:D27"/>
    <mergeCell ref="E27:F27"/>
    <mergeCell ref="E17:F17"/>
    <mergeCell ref="E18:F18"/>
    <mergeCell ref="E19:F19"/>
    <mergeCell ref="E20:F20"/>
    <mergeCell ref="G23:H23"/>
    <mergeCell ref="M12:S14"/>
    <mergeCell ref="M15:S17"/>
    <mergeCell ref="M18:S20"/>
    <mergeCell ref="M21:S23"/>
    <mergeCell ref="M24:S26"/>
    <mergeCell ref="T12:W14"/>
    <mergeCell ref="T15:W17"/>
    <mergeCell ref="T18:W20"/>
    <mergeCell ref="T21:W23"/>
    <mergeCell ref="T24:W26"/>
    <mergeCell ref="C28:D28"/>
    <mergeCell ref="C29:D29"/>
    <mergeCell ref="C30:D30"/>
    <mergeCell ref="C31:D31"/>
    <mergeCell ref="C38:D38"/>
    <mergeCell ref="C39:D39"/>
    <mergeCell ref="E39:F39"/>
    <mergeCell ref="C40:D40"/>
    <mergeCell ref="C41:D41"/>
    <mergeCell ref="E28:F28"/>
    <mergeCell ref="S38:W38"/>
    <mergeCell ref="S37:W37"/>
    <mergeCell ref="E42:F42"/>
    <mergeCell ref="E43:F43"/>
    <mergeCell ref="E44:F44"/>
    <mergeCell ref="G22:H22"/>
    <mergeCell ref="G26:H26"/>
    <mergeCell ref="G27:H27"/>
    <mergeCell ref="G28:H28"/>
    <mergeCell ref="G29:H29"/>
    <mergeCell ref="G30:H30"/>
    <mergeCell ref="G31:H31"/>
    <mergeCell ref="G32:H32"/>
    <mergeCell ref="G33:H33"/>
    <mergeCell ref="G41:H41"/>
    <mergeCell ref="G42:H42"/>
    <mergeCell ref="G43:H43"/>
    <mergeCell ref="G24:H24"/>
    <mergeCell ref="G25:H25"/>
    <mergeCell ref="E29:F29"/>
    <mergeCell ref="E30:F30"/>
    <mergeCell ref="E31:F31"/>
    <mergeCell ref="E32:F32"/>
    <mergeCell ref="E40:F40"/>
  </mergeCells>
  <dataValidations count="1">
    <dataValidation type="whole" allowBlank="1" showInputMessage="1" showErrorMessage="1" errorTitle="Ugyldig værdi" error="Indtast en værdi mellem 1 og 5." sqref="E12 E14:E49 E13:F13" xr:uid="{00000000-0002-0000-0100-000005000000}">
      <formula1>1</formula1>
      <formula2>5</formula2>
    </dataValidation>
  </dataValidations>
  <hyperlinks>
    <hyperlink ref="S37:W37" location="'2) Referencedata'!A1" display="Næste side" xr:uid="{5A1E8E6D-39F8-4214-869A-DA53C2A3B8F1}"/>
    <hyperlink ref="S38:W38" location="Forside!A1" display="Tilbage til forsiden" xr:uid="{8AB6584F-2584-4D84-BB56-510D6CE6834B}"/>
  </hyperlinks>
  <pageMargins left="0.7" right="0.7" top="0.75" bottom="0.75" header="0.3" footer="0.3"/>
  <pageSetup orientation="portrait" r:id="rId1"/>
  <headerFooter alignWithMargins="0"/>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Z101"/>
  <sheetViews>
    <sheetView showGridLines="0" zoomScaleNormal="100" workbookViewId="0">
      <selection activeCell="I12" sqref="I12:N12"/>
    </sheetView>
  </sheetViews>
  <sheetFormatPr defaultRowHeight="12.75" x14ac:dyDescent="0.2"/>
  <cols>
    <col min="1" max="25" width="3.7109375" customWidth="1"/>
  </cols>
  <sheetData>
    <row r="1" spans="1:26" x14ac:dyDescent="0.2">
      <c r="A1" s="92" t="str">
        <f>master!B5&amp;" "&amp;master!B6&amp;master!B7</f>
        <v>MULTIDIMENSIONAL FATIGUE INVENTORY (MFI-20)</v>
      </c>
      <c r="B1" s="92"/>
      <c r="C1" s="92"/>
      <c r="D1" s="92"/>
      <c r="E1" s="92"/>
      <c r="F1" s="92"/>
      <c r="G1" s="92"/>
      <c r="H1" s="92"/>
      <c r="I1" s="92"/>
      <c r="J1" s="92"/>
      <c r="K1" s="92"/>
      <c r="L1" s="92"/>
      <c r="M1" s="92"/>
      <c r="N1" s="92"/>
      <c r="O1" s="92"/>
      <c r="P1" s="92"/>
      <c r="Q1" s="92"/>
      <c r="R1" s="92"/>
      <c r="S1" s="92"/>
      <c r="T1" s="92"/>
      <c r="U1" s="92"/>
      <c r="V1" s="92"/>
      <c r="W1" s="92"/>
      <c r="X1" s="92"/>
    </row>
    <row r="2" spans="1:26" x14ac:dyDescent="0.2">
      <c r="A2" s="92"/>
      <c r="B2" s="92"/>
      <c r="C2" s="92"/>
      <c r="D2" s="92"/>
      <c r="E2" s="92"/>
      <c r="F2" s="92"/>
      <c r="G2" s="92"/>
      <c r="H2" s="92"/>
      <c r="I2" s="92"/>
      <c r="J2" s="92"/>
      <c r="K2" s="92"/>
      <c r="L2" s="92"/>
      <c r="M2" s="92"/>
      <c r="N2" s="92"/>
      <c r="O2" s="92"/>
      <c r="P2" s="92"/>
      <c r="Q2" s="92"/>
      <c r="R2" s="92"/>
      <c r="S2" s="92"/>
      <c r="T2" s="92"/>
      <c r="U2" s="92"/>
      <c r="V2" s="92"/>
      <c r="W2" s="92"/>
      <c r="X2" s="92"/>
    </row>
    <row r="3" spans="1:26" x14ac:dyDescent="0.2">
      <c r="A3" s="108" t="s">
        <v>91</v>
      </c>
      <c r="B3" s="108"/>
      <c r="C3" s="108"/>
      <c r="D3" s="108"/>
      <c r="E3" s="108"/>
      <c r="F3" s="108"/>
      <c r="G3" s="108"/>
      <c r="H3" s="108"/>
      <c r="I3" s="108"/>
      <c r="J3" s="108"/>
      <c r="K3" s="108"/>
      <c r="L3" s="108"/>
      <c r="M3" s="108"/>
      <c r="N3" s="108"/>
      <c r="O3" s="108"/>
      <c r="P3" s="108"/>
      <c r="Q3" s="108"/>
      <c r="R3" s="108"/>
      <c r="S3" s="108"/>
      <c r="T3" s="108"/>
      <c r="U3" s="108"/>
      <c r="V3" s="108"/>
      <c r="W3" s="108"/>
      <c r="X3" s="108"/>
    </row>
    <row r="4" spans="1:26"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row>
    <row r="10" spans="1:26" ht="21" customHeight="1" x14ac:dyDescent="0.2">
      <c r="A10" s="227" t="s">
        <v>184</v>
      </c>
      <c r="B10" s="227"/>
      <c r="C10" s="227"/>
      <c r="D10" s="227"/>
      <c r="E10" s="227"/>
      <c r="F10" s="227"/>
      <c r="G10" s="227"/>
      <c r="H10" s="227"/>
      <c r="I10" s="227"/>
      <c r="J10" s="227"/>
      <c r="K10" s="227"/>
      <c r="L10" s="227"/>
      <c r="M10" s="227"/>
      <c r="N10" s="227"/>
      <c r="O10" s="227"/>
      <c r="P10" s="227"/>
      <c r="Q10" s="227"/>
      <c r="R10" s="227"/>
      <c r="S10" s="227"/>
      <c r="T10" s="227"/>
      <c r="U10" s="227"/>
      <c r="V10" s="227"/>
      <c r="W10" s="227"/>
      <c r="X10" s="85"/>
    </row>
    <row r="11" spans="1:26" x14ac:dyDescent="0.2">
      <c r="A11" s="216" t="s">
        <v>183</v>
      </c>
      <c r="B11" s="217"/>
      <c r="C11" s="217"/>
      <c r="D11" s="217"/>
      <c r="E11" s="217"/>
      <c r="F11" s="217"/>
      <c r="G11" s="217"/>
      <c r="H11" s="217"/>
      <c r="I11" s="217"/>
      <c r="J11" s="217"/>
      <c r="K11" s="217"/>
      <c r="L11" s="217"/>
      <c r="M11" s="217"/>
      <c r="N11" s="217"/>
      <c r="O11" s="217"/>
      <c r="P11" s="217"/>
      <c r="Q11" s="217"/>
      <c r="R11" s="217"/>
      <c r="S11" s="217"/>
      <c r="T11" s="217"/>
      <c r="U11" s="217"/>
      <c r="V11" s="217"/>
      <c r="W11" s="218"/>
      <c r="X11" s="2"/>
    </row>
    <row r="12" spans="1:26" x14ac:dyDescent="0.2">
      <c r="A12" s="212" t="s">
        <v>13</v>
      </c>
      <c r="B12" s="213"/>
      <c r="C12" s="213"/>
      <c r="D12" s="213"/>
      <c r="E12" s="213"/>
      <c r="F12" s="213"/>
      <c r="G12" s="213"/>
      <c r="H12" s="214"/>
      <c r="I12" s="221"/>
      <c r="J12" s="222"/>
      <c r="K12" s="222"/>
      <c r="L12" s="222"/>
      <c r="M12" s="222"/>
      <c r="N12" s="223"/>
      <c r="O12" s="226" t="s">
        <v>101</v>
      </c>
      <c r="P12" s="224"/>
      <c r="Q12" s="224"/>
      <c r="R12" s="224"/>
      <c r="S12" s="224"/>
      <c r="T12" s="224"/>
      <c r="U12" s="224"/>
      <c r="V12" s="224"/>
      <c r="W12" s="225"/>
      <c r="X12" s="2"/>
      <c r="Z12" s="4"/>
    </row>
    <row r="13" spans="1:26" x14ac:dyDescent="0.2">
      <c r="A13" s="219" t="s">
        <v>170</v>
      </c>
      <c r="B13" s="220"/>
      <c r="C13" s="220"/>
      <c r="D13" s="220"/>
      <c r="E13" s="220"/>
      <c r="F13" s="220"/>
      <c r="G13" s="220"/>
      <c r="H13" s="220"/>
      <c r="I13" s="221"/>
      <c r="J13" s="222"/>
      <c r="K13" s="222"/>
      <c r="L13" s="222"/>
      <c r="M13" s="222"/>
      <c r="N13" s="223"/>
      <c r="O13" s="224" t="s">
        <v>171</v>
      </c>
      <c r="P13" s="224"/>
      <c r="Q13" s="224"/>
      <c r="R13" s="224"/>
      <c r="S13" s="224"/>
      <c r="T13" s="224"/>
      <c r="U13" s="224"/>
      <c r="V13" s="224"/>
      <c r="W13" s="225"/>
      <c r="X13" s="2"/>
      <c r="Z13" s="4"/>
    </row>
    <row r="14" spans="1:26" x14ac:dyDescent="0.2">
      <c r="A14" s="206" t="s">
        <v>2</v>
      </c>
      <c r="B14" s="206"/>
      <c r="C14" s="206"/>
      <c r="D14" s="206"/>
      <c r="E14" s="206"/>
      <c r="F14" s="206"/>
      <c r="G14" s="206"/>
      <c r="H14" s="206"/>
      <c r="I14" s="215" t="str">
        <f>master!E$3</f>
        <v>General</v>
      </c>
      <c r="J14" s="215"/>
      <c r="K14" s="215"/>
      <c r="L14" s="215" t="str">
        <f>master!E$4</f>
        <v>Physical</v>
      </c>
      <c r="M14" s="215"/>
      <c r="N14" s="215"/>
      <c r="O14" s="215" t="str">
        <f>master!E$5</f>
        <v>Activity</v>
      </c>
      <c r="P14" s="215"/>
      <c r="Q14" s="215"/>
      <c r="R14" s="215" t="str">
        <f>master!E$6</f>
        <v>Mental</v>
      </c>
      <c r="S14" s="215"/>
      <c r="T14" s="215"/>
      <c r="U14" s="215" t="str">
        <f>master!E$7</f>
        <v>Motivation</v>
      </c>
      <c r="V14" s="215"/>
      <c r="W14" s="215"/>
      <c r="X14" s="2"/>
    </row>
    <row r="15" spans="1:26" x14ac:dyDescent="0.2">
      <c r="A15" s="206" t="s">
        <v>106</v>
      </c>
      <c r="B15" s="206"/>
      <c r="C15" s="206"/>
      <c r="D15" s="206"/>
      <c r="E15" s="206"/>
      <c r="F15" s="206"/>
      <c r="G15" s="206"/>
      <c r="H15" s="206"/>
      <c r="I15" s="204"/>
      <c r="J15" s="205"/>
      <c r="K15" s="205"/>
      <c r="L15" s="204"/>
      <c r="M15" s="205"/>
      <c r="N15" s="205"/>
      <c r="O15" s="204"/>
      <c r="P15" s="205"/>
      <c r="Q15" s="205"/>
      <c r="R15" s="204"/>
      <c r="S15" s="205"/>
      <c r="T15" s="205"/>
      <c r="U15" s="204"/>
      <c r="V15" s="205"/>
      <c r="W15" s="205"/>
      <c r="X15" s="2"/>
    </row>
    <row r="16" spans="1:26" x14ac:dyDescent="0.2">
      <c r="A16" s="216" t="s">
        <v>105</v>
      </c>
      <c r="B16" s="217"/>
      <c r="C16" s="217"/>
      <c r="D16" s="217"/>
      <c r="E16" s="217"/>
      <c r="F16" s="217"/>
      <c r="G16" s="217"/>
      <c r="H16" s="217"/>
      <c r="I16" s="217"/>
      <c r="J16" s="217"/>
      <c r="K16" s="217"/>
      <c r="L16" s="217"/>
      <c r="M16" s="217"/>
      <c r="N16" s="217"/>
      <c r="O16" s="217"/>
      <c r="P16" s="217"/>
      <c r="Q16" s="217"/>
      <c r="R16" s="217"/>
      <c r="S16" s="217"/>
      <c r="T16" s="217"/>
      <c r="U16" s="217"/>
      <c r="V16" s="217"/>
      <c r="W16" s="218"/>
      <c r="X16" s="2"/>
      <c r="Z16" s="4"/>
    </row>
    <row r="17" spans="1:24" x14ac:dyDescent="0.2">
      <c r="A17" s="206" t="s">
        <v>2</v>
      </c>
      <c r="B17" s="206"/>
      <c r="C17" s="206"/>
      <c r="D17" s="206"/>
      <c r="E17" s="206"/>
      <c r="F17" s="206"/>
      <c r="G17" s="206"/>
      <c r="H17" s="206"/>
      <c r="I17" s="215" t="str">
        <f>master!E$3</f>
        <v>General</v>
      </c>
      <c r="J17" s="215"/>
      <c r="K17" s="215"/>
      <c r="L17" s="215" t="str">
        <f>master!E$4</f>
        <v>Physical</v>
      </c>
      <c r="M17" s="215"/>
      <c r="N17" s="215"/>
      <c r="O17" s="215" t="str">
        <f>master!E$5</f>
        <v>Activity</v>
      </c>
      <c r="P17" s="215"/>
      <c r="Q17" s="215"/>
      <c r="R17" s="215" t="str">
        <f>master!E$6</f>
        <v>Mental</v>
      </c>
      <c r="S17" s="215"/>
      <c r="T17" s="215"/>
      <c r="U17" s="215" t="str">
        <f>master!E$7</f>
        <v>Motivation</v>
      </c>
      <c r="V17" s="215"/>
      <c r="W17" s="215"/>
      <c r="X17" s="2"/>
    </row>
    <row r="18" spans="1:24" x14ac:dyDescent="0.2">
      <c r="A18" s="206" t="s">
        <v>185</v>
      </c>
      <c r="B18" s="206"/>
      <c r="C18" s="206"/>
      <c r="D18" s="206"/>
      <c r="E18" s="206"/>
      <c r="F18" s="206"/>
      <c r="G18" s="206"/>
      <c r="H18" s="206"/>
      <c r="I18" s="207" t="str">
        <f>IF(I15="",'1) Scoringsværktøj'!T12,I15)</f>
        <v/>
      </c>
      <c r="J18" s="208"/>
      <c r="K18" s="208"/>
      <c r="L18" s="207" t="str">
        <f>IF(L15="",'1) Scoringsværktøj'!T15,L15)</f>
        <v/>
      </c>
      <c r="M18" s="208"/>
      <c r="N18" s="208"/>
      <c r="O18" s="207" t="str">
        <f>IF(O15="",'1) Scoringsværktøj'!T18,O15)</f>
        <v/>
      </c>
      <c r="P18" s="208"/>
      <c r="Q18" s="208"/>
      <c r="R18" s="207" t="str">
        <f>IF(R15="",'1) Scoringsværktøj'!T21,R15)</f>
        <v/>
      </c>
      <c r="S18" s="208"/>
      <c r="T18" s="208"/>
      <c r="U18" s="207" t="str">
        <f>IF(U15="",'1) Scoringsværktøj'!T24,U15)</f>
        <v/>
      </c>
      <c r="V18" s="208"/>
      <c r="W18" s="208"/>
    </row>
    <row r="19" spans="1:24" s="2" customFormat="1" x14ac:dyDescent="0.2">
      <c r="A19" s="206" t="s">
        <v>8</v>
      </c>
      <c r="B19" s="206"/>
      <c r="C19" s="206"/>
      <c r="D19" s="206"/>
      <c r="E19" s="206"/>
      <c r="F19" s="206"/>
      <c r="G19" s="206"/>
      <c r="H19" s="206"/>
      <c r="I19" s="207" t="str">
        <f>IF(model!C5="","",ROUND(model!C5,0)&amp;".")</f>
        <v/>
      </c>
      <c r="J19" s="207"/>
      <c r="K19" s="207"/>
      <c r="L19" s="209" t="str">
        <f>IF(model!D5="","",ROUND(model!D5,0)&amp;".")</f>
        <v/>
      </c>
      <c r="M19" s="210"/>
      <c r="N19" s="211"/>
      <c r="O19" s="209" t="str">
        <f>IF(model!E5="","",ROUND(model!E5,0)&amp;".")</f>
        <v/>
      </c>
      <c r="P19" s="210"/>
      <c r="Q19" s="211"/>
      <c r="R19" s="209" t="str">
        <f>IF(model!F5="","",ROUND(model!F5,0)&amp;".")</f>
        <v/>
      </c>
      <c r="S19" s="210"/>
      <c r="T19" s="211"/>
      <c r="U19" s="209" t="str">
        <f>IF(model!G5="","",ROUND(model!G5,0)&amp;".")</f>
        <v/>
      </c>
      <c r="V19" s="210"/>
      <c r="W19" s="211"/>
    </row>
    <row r="22" spans="1:24" ht="12.75" customHeight="1" x14ac:dyDescent="0.2">
      <c r="X22" s="50"/>
    </row>
    <row r="23" spans="1:24" x14ac:dyDescent="0.2">
      <c r="T23" s="228" t="s">
        <v>100</v>
      </c>
      <c r="U23" s="229"/>
      <c r="V23" s="229"/>
      <c r="W23" s="230"/>
      <c r="X23" s="50"/>
    </row>
    <row r="24" spans="1:24" x14ac:dyDescent="0.2">
      <c r="T24" s="231"/>
      <c r="U24" s="232"/>
      <c r="V24" s="232"/>
      <c r="W24" s="233"/>
      <c r="X24" s="51"/>
    </row>
    <row r="25" spans="1:24" x14ac:dyDescent="0.2">
      <c r="T25" s="234" t="s">
        <v>115</v>
      </c>
      <c r="U25" s="235"/>
      <c r="V25" s="235"/>
      <c r="W25" s="236"/>
      <c r="X25" s="51"/>
    </row>
    <row r="26" spans="1:24" x14ac:dyDescent="0.2">
      <c r="T26" s="237"/>
      <c r="U26" s="238"/>
      <c r="V26" s="238"/>
      <c r="W26" s="239"/>
    </row>
    <row r="37" spans="1:23" s="2" customFormat="1" x14ac:dyDescent="0.2">
      <c r="A37"/>
      <c r="B37"/>
      <c r="C37"/>
      <c r="D37"/>
      <c r="E37"/>
      <c r="F37"/>
      <c r="G37"/>
      <c r="H37"/>
      <c r="I37"/>
      <c r="J37"/>
      <c r="K37"/>
      <c r="L37"/>
      <c r="M37"/>
      <c r="N37"/>
      <c r="O37"/>
      <c r="P37"/>
      <c r="Q37"/>
      <c r="R37"/>
      <c r="S37"/>
      <c r="T37"/>
      <c r="U37"/>
      <c r="V37"/>
      <c r="W37"/>
    </row>
    <row r="38" spans="1:23" s="2" customFormat="1" x14ac:dyDescent="0.2">
      <c r="A38"/>
      <c r="B38"/>
      <c r="C38"/>
      <c r="D38"/>
      <c r="E38"/>
      <c r="F38"/>
      <c r="G38"/>
      <c r="H38"/>
      <c r="I38"/>
      <c r="J38"/>
      <c r="K38"/>
      <c r="L38"/>
      <c r="M38"/>
      <c r="N38"/>
      <c r="O38"/>
      <c r="P38"/>
      <c r="Q38"/>
      <c r="R38"/>
      <c r="S38"/>
      <c r="T38"/>
      <c r="U38"/>
      <c r="V38"/>
      <c r="W38"/>
    </row>
    <row r="39" spans="1:23" s="2" customFormat="1" x14ac:dyDescent="0.2">
      <c r="A39"/>
      <c r="B39"/>
      <c r="C39"/>
      <c r="D39"/>
      <c r="E39"/>
      <c r="F39"/>
      <c r="G39"/>
      <c r="H39"/>
      <c r="I39"/>
      <c r="J39"/>
      <c r="K39"/>
      <c r="L39"/>
      <c r="M39"/>
      <c r="N39"/>
      <c r="O39"/>
      <c r="P39"/>
      <c r="Q39"/>
      <c r="R39"/>
      <c r="S39"/>
      <c r="T39"/>
      <c r="U39"/>
      <c r="V39"/>
      <c r="W39"/>
    </row>
    <row r="40" spans="1:23" s="2" customFormat="1" x14ac:dyDescent="0.2">
      <c r="A40"/>
      <c r="B40"/>
      <c r="C40"/>
      <c r="D40"/>
      <c r="E40"/>
      <c r="F40"/>
      <c r="G40"/>
      <c r="H40"/>
      <c r="I40"/>
      <c r="J40"/>
      <c r="K40"/>
      <c r="L40"/>
      <c r="M40"/>
      <c r="N40"/>
      <c r="O40"/>
      <c r="P40"/>
      <c r="Q40"/>
      <c r="R40"/>
      <c r="S40"/>
      <c r="T40"/>
      <c r="U40"/>
      <c r="V40"/>
      <c r="W40"/>
    </row>
    <row r="41" spans="1:23" s="2" customFormat="1" x14ac:dyDescent="0.2">
      <c r="A41"/>
      <c r="B41"/>
      <c r="C41"/>
      <c r="D41"/>
      <c r="E41"/>
      <c r="F41"/>
      <c r="G41"/>
      <c r="H41"/>
      <c r="I41"/>
      <c r="J41"/>
      <c r="K41"/>
      <c r="L41"/>
      <c r="M41"/>
      <c r="N41"/>
      <c r="O41"/>
      <c r="P41"/>
      <c r="Q41"/>
      <c r="R41"/>
      <c r="S41"/>
      <c r="T41"/>
      <c r="U41"/>
      <c r="V41"/>
      <c r="W41"/>
    </row>
    <row r="42" spans="1:23" s="2" customFormat="1" x14ac:dyDescent="0.2">
      <c r="A42"/>
      <c r="B42"/>
      <c r="C42"/>
      <c r="D42"/>
      <c r="E42"/>
      <c r="F42"/>
      <c r="G42"/>
      <c r="H42"/>
      <c r="I42"/>
      <c r="J42"/>
      <c r="K42"/>
      <c r="L42"/>
      <c r="M42"/>
      <c r="N42"/>
      <c r="O42"/>
      <c r="P42"/>
      <c r="Q42"/>
      <c r="R42"/>
      <c r="S42"/>
      <c r="T42"/>
      <c r="U42"/>
      <c r="V42"/>
      <c r="W42"/>
    </row>
    <row r="43" spans="1:23" s="2" customFormat="1" x14ac:dyDescent="0.2">
      <c r="A43"/>
      <c r="B43"/>
      <c r="C43"/>
      <c r="D43"/>
      <c r="E43"/>
      <c r="F43"/>
      <c r="G43"/>
      <c r="H43"/>
      <c r="I43"/>
      <c r="J43"/>
      <c r="K43"/>
      <c r="L43"/>
      <c r="M43"/>
      <c r="N43"/>
      <c r="O43"/>
      <c r="P43"/>
      <c r="Q43"/>
      <c r="R43"/>
      <c r="S43"/>
      <c r="T43"/>
      <c r="U43"/>
      <c r="V43"/>
      <c r="W43"/>
    </row>
    <row r="44" spans="1:23" s="2" customFormat="1" x14ac:dyDescent="0.2">
      <c r="A44"/>
      <c r="B44"/>
      <c r="C44"/>
      <c r="D44"/>
      <c r="E44"/>
      <c r="F44"/>
      <c r="G44"/>
      <c r="H44"/>
      <c r="I44"/>
      <c r="J44"/>
      <c r="K44"/>
      <c r="L44"/>
      <c r="M44"/>
      <c r="N44"/>
      <c r="O44"/>
      <c r="P44"/>
      <c r="Q44"/>
      <c r="R44"/>
      <c r="S44"/>
      <c r="T44"/>
      <c r="U44"/>
      <c r="V44"/>
      <c r="W44"/>
    </row>
    <row r="45" spans="1:23" s="2" customFormat="1" x14ac:dyDescent="0.2">
      <c r="A45"/>
      <c r="B45"/>
      <c r="C45"/>
      <c r="D45"/>
      <c r="E45"/>
      <c r="F45"/>
      <c r="G45"/>
      <c r="H45"/>
      <c r="I45"/>
      <c r="J45"/>
      <c r="K45"/>
      <c r="L45"/>
      <c r="M45"/>
      <c r="N45"/>
      <c r="O45"/>
      <c r="P45"/>
      <c r="Q45"/>
      <c r="R45"/>
      <c r="S45"/>
      <c r="T45"/>
      <c r="U45"/>
      <c r="V45"/>
      <c r="W45"/>
    </row>
    <row r="46" spans="1:23" s="2" customFormat="1" x14ac:dyDescent="0.2">
      <c r="A46"/>
      <c r="B46"/>
      <c r="C46"/>
      <c r="D46"/>
      <c r="E46"/>
      <c r="F46"/>
      <c r="G46"/>
      <c r="H46"/>
      <c r="I46"/>
      <c r="J46"/>
      <c r="K46"/>
      <c r="L46"/>
      <c r="M46"/>
      <c r="N46"/>
      <c r="O46"/>
      <c r="P46"/>
      <c r="Q46"/>
      <c r="R46"/>
      <c r="S46"/>
      <c r="T46"/>
      <c r="U46"/>
      <c r="V46"/>
      <c r="W46"/>
    </row>
    <row r="47" spans="1:23" s="2" customFormat="1" x14ac:dyDescent="0.2">
      <c r="A47"/>
      <c r="B47"/>
      <c r="C47"/>
      <c r="D47"/>
      <c r="E47"/>
      <c r="F47"/>
      <c r="G47"/>
      <c r="H47"/>
      <c r="I47"/>
      <c r="J47"/>
      <c r="K47"/>
      <c r="L47"/>
      <c r="M47"/>
      <c r="N47"/>
      <c r="O47"/>
      <c r="P47"/>
      <c r="Q47"/>
      <c r="R47"/>
      <c r="S47"/>
      <c r="T47"/>
      <c r="U47"/>
      <c r="V47"/>
      <c r="W47"/>
    </row>
    <row r="48" spans="1:23" s="2" customFormat="1" x14ac:dyDescent="0.2">
      <c r="A48"/>
      <c r="B48"/>
      <c r="C48"/>
      <c r="D48"/>
      <c r="E48"/>
      <c r="F48"/>
      <c r="G48"/>
      <c r="H48"/>
      <c r="I48"/>
      <c r="J48"/>
      <c r="K48"/>
      <c r="L48"/>
      <c r="M48"/>
      <c r="N48"/>
      <c r="O48"/>
      <c r="P48"/>
      <c r="Q48"/>
      <c r="R48"/>
      <c r="S48"/>
      <c r="T48"/>
      <c r="U48"/>
      <c r="V48"/>
      <c r="W48"/>
    </row>
    <row r="49" spans="1:23" s="2" customFormat="1" x14ac:dyDescent="0.2">
      <c r="A49"/>
      <c r="B49"/>
      <c r="C49"/>
      <c r="D49"/>
      <c r="E49"/>
      <c r="F49"/>
      <c r="G49"/>
      <c r="H49"/>
      <c r="I49"/>
      <c r="J49"/>
      <c r="K49"/>
      <c r="L49"/>
      <c r="M49"/>
      <c r="N49"/>
      <c r="O49"/>
      <c r="P49"/>
      <c r="Q49"/>
      <c r="R49"/>
      <c r="S49"/>
      <c r="T49"/>
      <c r="U49"/>
      <c r="V49"/>
      <c r="W49"/>
    </row>
    <row r="50" spans="1:23" s="2" customFormat="1" x14ac:dyDescent="0.2">
      <c r="A50"/>
      <c r="B50"/>
      <c r="C50"/>
      <c r="D50"/>
      <c r="E50"/>
      <c r="F50"/>
      <c r="G50"/>
      <c r="H50"/>
      <c r="I50"/>
      <c r="J50"/>
      <c r="K50"/>
      <c r="L50"/>
      <c r="M50"/>
      <c r="N50"/>
      <c r="O50"/>
      <c r="P50"/>
      <c r="Q50"/>
      <c r="R50"/>
      <c r="S50"/>
      <c r="T50"/>
      <c r="U50"/>
      <c r="V50"/>
      <c r="W50"/>
    </row>
    <row r="51" spans="1:23" s="2" customFormat="1" x14ac:dyDescent="0.2">
      <c r="A51"/>
      <c r="B51"/>
      <c r="C51"/>
      <c r="D51"/>
      <c r="E51"/>
      <c r="F51"/>
      <c r="G51"/>
      <c r="H51"/>
      <c r="I51"/>
      <c r="J51"/>
      <c r="K51"/>
      <c r="L51"/>
      <c r="M51"/>
      <c r="N51"/>
      <c r="O51"/>
      <c r="P51"/>
      <c r="Q51"/>
      <c r="R51"/>
      <c r="S51"/>
      <c r="T51"/>
      <c r="U51"/>
      <c r="V51"/>
      <c r="W51"/>
    </row>
    <row r="52" spans="1:23" s="2" customFormat="1" x14ac:dyDescent="0.2">
      <c r="A52"/>
      <c r="B52"/>
      <c r="C52"/>
      <c r="D52"/>
      <c r="E52"/>
      <c r="F52"/>
      <c r="G52"/>
      <c r="H52"/>
      <c r="I52"/>
      <c r="J52"/>
      <c r="K52"/>
      <c r="L52"/>
      <c r="M52"/>
      <c r="N52"/>
      <c r="O52"/>
      <c r="P52"/>
      <c r="Q52"/>
      <c r="R52"/>
      <c r="S52"/>
      <c r="T52"/>
      <c r="U52"/>
      <c r="V52"/>
      <c r="W52"/>
    </row>
    <row r="53" spans="1:23" s="2" customFormat="1" x14ac:dyDescent="0.2">
      <c r="A53"/>
      <c r="B53"/>
      <c r="C53"/>
      <c r="D53"/>
      <c r="E53"/>
      <c r="F53"/>
      <c r="G53"/>
      <c r="H53"/>
      <c r="I53"/>
      <c r="J53"/>
      <c r="K53"/>
      <c r="L53"/>
      <c r="M53"/>
      <c r="N53"/>
      <c r="O53"/>
      <c r="P53"/>
      <c r="Q53"/>
      <c r="R53"/>
      <c r="S53"/>
      <c r="T53"/>
      <c r="U53"/>
      <c r="V53"/>
      <c r="W53"/>
    </row>
    <row r="54" spans="1:23" s="2" customFormat="1" x14ac:dyDescent="0.2">
      <c r="A54"/>
      <c r="B54"/>
      <c r="C54"/>
      <c r="D54"/>
      <c r="E54"/>
      <c r="F54"/>
      <c r="G54"/>
      <c r="H54"/>
      <c r="I54"/>
      <c r="J54"/>
      <c r="K54"/>
      <c r="L54"/>
      <c r="M54"/>
      <c r="N54"/>
      <c r="O54"/>
      <c r="P54"/>
      <c r="Q54"/>
      <c r="R54"/>
      <c r="S54"/>
      <c r="T54"/>
      <c r="U54"/>
      <c r="V54"/>
      <c r="W54"/>
    </row>
    <row r="100" spans="19:23" x14ac:dyDescent="0.2">
      <c r="S100" s="110" t="s">
        <v>182</v>
      </c>
      <c r="T100" s="110"/>
      <c r="U100" s="110"/>
      <c r="V100" s="110"/>
      <c r="W100" s="110"/>
    </row>
    <row r="101" spans="19:23" x14ac:dyDescent="0.2">
      <c r="S101" s="110" t="s">
        <v>97</v>
      </c>
      <c r="T101" s="110"/>
      <c r="U101" s="110"/>
      <c r="V101" s="110"/>
      <c r="W101" s="110"/>
    </row>
  </sheetData>
  <sheetProtection algorithmName="SHA-512" hashValue="nyq3dlTiSGRC6Ej65/6a+3eJvfGTIfXwBt8BBzFg76NVMrigYnFRicqprfLQHAECIIEFyyIu4jdiK51e42ZRFw==" saltValue="jv675KmLqG+3OL5/WKtGEQ==" spinCount="100000" sheet="1" selectLockedCells="1"/>
  <mergeCells count="45">
    <mergeCell ref="T23:W24"/>
    <mergeCell ref="T25:W26"/>
    <mergeCell ref="O19:Q19"/>
    <mergeCell ref="R19:T19"/>
    <mergeCell ref="U19:W19"/>
    <mergeCell ref="A1:X2"/>
    <mergeCell ref="A3:X4"/>
    <mergeCell ref="I12:N12"/>
    <mergeCell ref="O12:W12"/>
    <mergeCell ref="R17:T17"/>
    <mergeCell ref="U17:W17"/>
    <mergeCell ref="A11:W11"/>
    <mergeCell ref="A10:W10"/>
    <mergeCell ref="L19:N19"/>
    <mergeCell ref="A12:H12"/>
    <mergeCell ref="A17:H17"/>
    <mergeCell ref="I17:K17"/>
    <mergeCell ref="L17:N17"/>
    <mergeCell ref="A16:W16"/>
    <mergeCell ref="O17:Q17"/>
    <mergeCell ref="A13:H13"/>
    <mergeCell ref="I13:N13"/>
    <mergeCell ref="O13:W13"/>
    <mergeCell ref="A14:H14"/>
    <mergeCell ref="I14:K14"/>
    <mergeCell ref="L14:N14"/>
    <mergeCell ref="O14:Q14"/>
    <mergeCell ref="R14:T14"/>
    <mergeCell ref="U14:W14"/>
    <mergeCell ref="S101:W101"/>
    <mergeCell ref="S100:W100"/>
    <mergeCell ref="U15:W15"/>
    <mergeCell ref="A18:H18"/>
    <mergeCell ref="I18:K18"/>
    <mergeCell ref="L18:N18"/>
    <mergeCell ref="O18:Q18"/>
    <mergeCell ref="R18:T18"/>
    <mergeCell ref="U18:W18"/>
    <mergeCell ref="A15:H15"/>
    <mergeCell ref="I15:K15"/>
    <mergeCell ref="L15:N15"/>
    <mergeCell ref="O15:Q15"/>
    <mergeCell ref="R15:T15"/>
    <mergeCell ref="A19:H19"/>
    <mergeCell ref="I19:K19"/>
  </mergeCells>
  <dataValidations count="2">
    <dataValidation type="whole" allowBlank="1" showInputMessage="1" showErrorMessage="1" errorTitle="Ugyldig værdi" error="Skalaen går fra 4 til 20." sqref="I15:W15" xr:uid="{00000000-0002-0000-0400-000000000000}">
      <formula1>4</formula1>
      <formula2>20</formula2>
    </dataValidation>
    <dataValidation type="whole" allowBlank="1" showInputMessage="1" showErrorMessage="1" errorTitle="Ugyldig værdi" error="Referencematerialet går fra 20 til 79 år. Hvis du vil sammenligne resultaterne uden at justere for alder, skal du lade cellen være blank." promptTitle="Vælg køn" sqref="I13:N13" xr:uid="{3094C2C6-33FE-40E3-829C-FFA4B6A90623}">
      <formula1>20</formula1>
      <formula2>79</formula2>
    </dataValidation>
  </dataValidations>
  <hyperlinks>
    <hyperlink ref="S100:W100" location="'3) Datagrundlag'!A1" display="Næste side" xr:uid="{8C5A89A3-B5BB-48C4-B66E-8395A3A8FC1D}"/>
    <hyperlink ref="S101:W101" location="Forside!A1" display="Tilbage til forsiden" xr:uid="{6C96D68D-C820-4DA5-950F-69FA1243C69D}"/>
  </hyperlinks>
  <pageMargins left="0.7" right="0.7" top="0.75" bottom="0.75" header="0.3" footer="0.3"/>
  <pageSetup paperSize="9" orientation="portrait" r:id="rId1"/>
  <rowBreaks count="1" manualBreakCount="1">
    <brk id="36"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11" id="{00000000-000E-0000-0200-000005000000}">
            <xm:f>$T$25=master!$E$3</xm:f>
            <x14:dxf>
              <fill>
                <patternFill>
                  <bgColor theme="6"/>
                </patternFill>
              </fill>
            </x14:dxf>
          </x14:cfRule>
          <xm:sqref>I17:K19</xm:sqref>
        </x14:conditionalFormatting>
        <x14:conditionalFormatting xmlns:xm="http://schemas.microsoft.com/office/excel/2006/main">
          <x14:cfRule type="expression" priority="13" id="{00000000-000E-0000-0200-000004000000}">
            <xm:f>$T$25=master!$E$4</xm:f>
            <x14:dxf>
              <fill>
                <patternFill>
                  <bgColor theme="6"/>
                </patternFill>
              </fill>
            </x14:dxf>
          </x14:cfRule>
          <xm:sqref>L17:N19</xm:sqref>
        </x14:conditionalFormatting>
        <x14:conditionalFormatting xmlns:xm="http://schemas.microsoft.com/office/excel/2006/main">
          <x14:cfRule type="expression" priority="15" id="{00000000-000E-0000-0200-000003000000}">
            <xm:f>$T$25=master!$E$5</xm:f>
            <x14:dxf>
              <fill>
                <patternFill>
                  <bgColor theme="6"/>
                </patternFill>
              </fill>
            </x14:dxf>
          </x14:cfRule>
          <xm:sqref>O17:Q19</xm:sqref>
        </x14:conditionalFormatting>
        <x14:conditionalFormatting xmlns:xm="http://schemas.microsoft.com/office/excel/2006/main">
          <x14:cfRule type="expression" priority="17" id="{00000000-000E-0000-0200-000002000000}">
            <xm:f>$T$25=master!$E$6</xm:f>
            <x14:dxf>
              <fill>
                <patternFill>
                  <bgColor theme="6"/>
                </patternFill>
              </fill>
            </x14:dxf>
          </x14:cfRule>
          <xm:sqref>R17:T19</xm:sqref>
        </x14:conditionalFormatting>
        <x14:conditionalFormatting xmlns:xm="http://schemas.microsoft.com/office/excel/2006/main">
          <x14:cfRule type="expression" priority="19" id="{00000000-000E-0000-0200-000001000000}">
            <xm:f>$T$25=master!$E$7</xm:f>
            <x14:dxf>
              <fill>
                <patternFill>
                  <bgColor theme="6"/>
                </patternFill>
              </fill>
            </x14:dxf>
          </x14:cfRule>
          <xm:sqref>U17:W19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Ugyldig værdi" error="Vælg venligst fra rullelisten." promptTitle="Vælg køn" xr:uid="{AE8337CF-E8EE-4763-9087-2A3317D85E08}">
          <x14:formula1>
            <xm:f>master!$C$3:$C$5</xm:f>
          </x14:formula1>
          <xm:sqref>I12:N12</xm:sqref>
        </x14:dataValidation>
        <x14:dataValidation type="list" allowBlank="1" showInputMessage="1" showErrorMessage="1" xr:uid="{DDE318E9-80AF-44D4-9FF5-D636605D7EA8}">
          <x14:formula1>
            <xm:f>kurver!$G$2:$G$6</xm:f>
          </x14:formula1>
          <xm:sqref>T25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A1:X58"/>
  <sheetViews>
    <sheetView showGridLines="0" zoomScaleNormal="100" workbookViewId="0">
      <selection activeCell="S58" sqref="S58:W58"/>
    </sheetView>
  </sheetViews>
  <sheetFormatPr defaultRowHeight="12.75" x14ac:dyDescent="0.2"/>
  <cols>
    <col min="1" max="25" width="3.7109375" customWidth="1"/>
  </cols>
  <sheetData>
    <row r="1" spans="1:24" x14ac:dyDescent="0.2">
      <c r="A1" s="92" t="str">
        <f>master!B5&amp;" "&amp;master!B6&amp;master!B7</f>
        <v>MULTIDIMENSIONAL FATIGUE INVENTORY (MFI-20)</v>
      </c>
      <c r="B1" s="92"/>
      <c r="C1" s="92"/>
      <c r="D1" s="92"/>
      <c r="E1" s="92"/>
      <c r="F1" s="92"/>
      <c r="G1" s="92"/>
      <c r="H1" s="92"/>
      <c r="I1" s="92"/>
      <c r="J1" s="92"/>
      <c r="K1" s="92"/>
      <c r="L1" s="92"/>
      <c r="M1" s="92"/>
      <c r="N1" s="92"/>
      <c r="O1" s="92"/>
      <c r="P1" s="92"/>
      <c r="Q1" s="92"/>
      <c r="R1" s="92"/>
      <c r="S1" s="92"/>
      <c r="T1" s="92"/>
      <c r="U1" s="92"/>
      <c r="V1" s="92"/>
      <c r="W1" s="92"/>
      <c r="X1" s="92"/>
    </row>
    <row r="2" spans="1:24" x14ac:dyDescent="0.2">
      <c r="A2" s="92"/>
      <c r="B2" s="92"/>
      <c r="C2" s="92"/>
      <c r="D2" s="92"/>
      <c r="E2" s="92"/>
      <c r="F2" s="92"/>
      <c r="G2" s="92"/>
      <c r="H2" s="92"/>
      <c r="I2" s="92"/>
      <c r="J2" s="92"/>
      <c r="K2" s="92"/>
      <c r="L2" s="92"/>
      <c r="M2" s="92"/>
      <c r="N2" s="92"/>
      <c r="O2" s="92"/>
      <c r="P2" s="92"/>
      <c r="Q2" s="92"/>
      <c r="R2" s="92"/>
      <c r="S2" s="92"/>
      <c r="T2" s="92"/>
      <c r="U2" s="92"/>
      <c r="V2" s="92"/>
      <c r="W2" s="92"/>
      <c r="X2" s="92"/>
    </row>
    <row r="3" spans="1:24" x14ac:dyDescent="0.2">
      <c r="A3" s="108" t="s">
        <v>91</v>
      </c>
      <c r="B3" s="108"/>
      <c r="C3" s="108"/>
      <c r="D3" s="108"/>
      <c r="E3" s="108"/>
      <c r="F3" s="108"/>
      <c r="G3" s="108"/>
      <c r="H3" s="108"/>
      <c r="I3" s="108"/>
      <c r="J3" s="108"/>
      <c r="K3" s="108"/>
      <c r="L3" s="108"/>
      <c r="M3" s="108"/>
      <c r="N3" s="108"/>
      <c r="O3" s="108"/>
      <c r="P3" s="108"/>
      <c r="Q3" s="108"/>
      <c r="R3" s="108"/>
      <c r="S3" s="108"/>
      <c r="T3" s="108"/>
      <c r="U3" s="108"/>
      <c r="V3" s="108"/>
      <c r="W3" s="108"/>
      <c r="X3" s="108"/>
    </row>
    <row r="4" spans="1:24"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row>
    <row r="52" spans="2:23" x14ac:dyDescent="0.2">
      <c r="B52" s="30"/>
      <c r="C52" s="30"/>
      <c r="D52" s="30"/>
      <c r="E52" s="30"/>
      <c r="F52" s="30"/>
      <c r="G52" s="30"/>
      <c r="H52" s="30"/>
    </row>
    <row r="53" spans="2:23" ht="14.25" x14ac:dyDescent="0.2">
      <c r="B53" s="240" t="s">
        <v>216</v>
      </c>
      <c r="C53" s="241"/>
      <c r="D53" s="241"/>
      <c r="E53" s="241"/>
      <c r="F53" s="244" t="s">
        <v>196</v>
      </c>
      <c r="G53" s="244"/>
      <c r="H53" s="244" t="s">
        <v>197</v>
      </c>
      <c r="I53" s="244"/>
      <c r="J53" s="244" t="s">
        <v>215</v>
      </c>
      <c r="K53" s="244"/>
      <c r="L53" s="244" t="s">
        <v>201</v>
      </c>
      <c r="M53" s="244"/>
      <c r="N53" s="244" t="s">
        <v>200</v>
      </c>
      <c r="O53" s="244"/>
      <c r="P53" s="244" t="s">
        <v>199</v>
      </c>
      <c r="Q53" s="244"/>
      <c r="R53" s="244" t="s">
        <v>214</v>
      </c>
      <c r="S53" s="244"/>
      <c r="T53" s="244"/>
      <c r="U53" s="245"/>
    </row>
    <row r="54" spans="2:23" x14ac:dyDescent="0.2">
      <c r="B54" s="242" t="s">
        <v>6</v>
      </c>
      <c r="C54" s="243"/>
      <c r="D54" s="243"/>
      <c r="E54" s="243"/>
      <c r="F54" s="248">
        <v>95</v>
      </c>
      <c r="G54" s="248"/>
      <c r="H54" s="248">
        <v>107</v>
      </c>
      <c r="I54" s="248"/>
      <c r="J54" s="248">
        <v>95</v>
      </c>
      <c r="K54" s="248"/>
      <c r="L54" s="127">
        <v>92</v>
      </c>
      <c r="M54" s="127"/>
      <c r="N54" s="127">
        <v>88</v>
      </c>
      <c r="O54" s="127"/>
      <c r="P54" s="127">
        <v>67</v>
      </c>
      <c r="Q54" s="127"/>
      <c r="R54" s="248">
        <v>544</v>
      </c>
      <c r="S54" s="248"/>
      <c r="T54" s="248"/>
      <c r="U54" s="250"/>
    </row>
    <row r="55" spans="2:23" x14ac:dyDescent="0.2">
      <c r="B55" s="242" t="s">
        <v>5</v>
      </c>
      <c r="C55" s="243"/>
      <c r="D55" s="243"/>
      <c r="E55" s="243"/>
      <c r="F55" s="248">
        <v>80</v>
      </c>
      <c r="G55" s="248"/>
      <c r="H55" s="248">
        <v>100</v>
      </c>
      <c r="I55" s="248"/>
      <c r="J55" s="248">
        <v>88</v>
      </c>
      <c r="K55" s="248"/>
      <c r="L55" s="127">
        <v>93</v>
      </c>
      <c r="M55" s="127"/>
      <c r="N55" s="127">
        <v>93</v>
      </c>
      <c r="O55" s="127"/>
      <c r="P55" s="127">
        <v>79</v>
      </c>
      <c r="Q55" s="127"/>
      <c r="R55" s="248">
        <v>533</v>
      </c>
      <c r="S55" s="248"/>
      <c r="T55" s="248"/>
      <c r="U55" s="250"/>
    </row>
    <row r="56" spans="2:23" x14ac:dyDescent="0.2">
      <c r="B56" s="246" t="s">
        <v>214</v>
      </c>
      <c r="C56" s="247"/>
      <c r="D56" s="247"/>
      <c r="E56" s="247"/>
      <c r="F56" s="249">
        <v>175</v>
      </c>
      <c r="G56" s="249"/>
      <c r="H56" s="249">
        <v>207</v>
      </c>
      <c r="I56" s="249"/>
      <c r="J56" s="249">
        <v>183</v>
      </c>
      <c r="K56" s="249"/>
      <c r="L56" s="249">
        <v>185</v>
      </c>
      <c r="M56" s="249"/>
      <c r="N56" s="249">
        <v>181</v>
      </c>
      <c r="O56" s="249"/>
      <c r="P56" s="249">
        <v>151</v>
      </c>
      <c r="Q56" s="249"/>
      <c r="R56" s="249">
        <v>1082</v>
      </c>
      <c r="S56" s="249"/>
      <c r="T56" s="249"/>
      <c r="U56" s="251"/>
    </row>
    <row r="58" spans="2:23" x14ac:dyDescent="0.2">
      <c r="S58" s="110" t="s">
        <v>97</v>
      </c>
      <c r="T58" s="110"/>
      <c r="U58" s="110"/>
      <c r="V58" s="110"/>
      <c r="W58" s="110"/>
    </row>
  </sheetData>
  <sheetProtection algorithmName="SHA-512" hashValue="Yx13lHRYs+ZPiPeJ0815iBaFlORDh9VkD8yhhmcO4dfjqULz+VXNjm8Vs7dktre1StlHyyskWFVS5JM7ck4WXQ==" saltValue="g7E2jqHREsDPYFCZq/xQAQ==" spinCount="100000" sheet="1" objects="1" scenarios="1" selectLockedCells="1"/>
  <mergeCells count="35">
    <mergeCell ref="R54:U54"/>
    <mergeCell ref="R55:U55"/>
    <mergeCell ref="R56:U56"/>
    <mergeCell ref="N54:O54"/>
    <mergeCell ref="N55:O55"/>
    <mergeCell ref="N56:O56"/>
    <mergeCell ref="P55:Q55"/>
    <mergeCell ref="P56:Q56"/>
    <mergeCell ref="J54:K54"/>
    <mergeCell ref="J55:K55"/>
    <mergeCell ref="J56:K56"/>
    <mergeCell ref="L55:M55"/>
    <mergeCell ref="L56:M56"/>
    <mergeCell ref="F54:G54"/>
    <mergeCell ref="F55:G55"/>
    <mergeCell ref="F56:G56"/>
    <mergeCell ref="H54:I54"/>
    <mergeCell ref="H55:I55"/>
    <mergeCell ref="H56:I56"/>
    <mergeCell ref="A1:X2"/>
    <mergeCell ref="A3:X4"/>
    <mergeCell ref="S58:W58"/>
    <mergeCell ref="B53:E53"/>
    <mergeCell ref="B54:E54"/>
    <mergeCell ref="L53:M53"/>
    <mergeCell ref="N53:O53"/>
    <mergeCell ref="P53:Q53"/>
    <mergeCell ref="R53:U53"/>
    <mergeCell ref="L54:M54"/>
    <mergeCell ref="P54:Q54"/>
    <mergeCell ref="B55:E55"/>
    <mergeCell ref="B56:E56"/>
    <mergeCell ref="F53:G53"/>
    <mergeCell ref="H53:I53"/>
    <mergeCell ref="J53:K53"/>
  </mergeCells>
  <hyperlinks>
    <hyperlink ref="S58:W58" location="Forside!A1" display="Tilbage til forsiden" xr:uid="{95CB48FC-E468-44A2-A483-C3D43B9DB5FD}"/>
  </hyperlinks>
  <pageMargins left="0.7" right="0.7" top="0.75" bottom="0.75" header="0.3" footer="0.3"/>
  <pageSetup paperSize="9" orientation="portrait" r:id="rId1"/>
  <rowBreaks count="1" manualBreakCount="1">
    <brk id="3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
  <sheetViews>
    <sheetView workbookViewId="0">
      <selection activeCell="B4" sqref="B4"/>
    </sheetView>
  </sheetViews>
  <sheetFormatPr defaultRowHeight="12.75" x14ac:dyDescent="0.2"/>
  <cols>
    <col min="1" max="1" width="15.28515625" bestFit="1" customWidth="1"/>
    <col min="2" max="2" width="26.42578125" bestFit="1" customWidth="1"/>
    <col min="3" max="3" width="18.140625" customWidth="1"/>
    <col min="4" max="4" width="18.7109375" customWidth="1"/>
    <col min="5" max="5" width="13.28515625" customWidth="1"/>
  </cols>
  <sheetData>
    <row r="1" spans="1:5" x14ac:dyDescent="0.2">
      <c r="A1" s="252" t="s">
        <v>99</v>
      </c>
      <c r="B1" s="252"/>
      <c r="C1" s="20" t="s">
        <v>98</v>
      </c>
    </row>
    <row r="2" spans="1:5" x14ac:dyDescent="0.2">
      <c r="A2" s="83" t="s">
        <v>179</v>
      </c>
      <c r="B2" s="84" t="s">
        <v>194</v>
      </c>
      <c r="C2" s="4" t="s">
        <v>13</v>
      </c>
      <c r="D2" s="4" t="s">
        <v>2</v>
      </c>
      <c r="E2" s="4" t="s">
        <v>108</v>
      </c>
    </row>
    <row r="3" spans="1:5" x14ac:dyDescent="0.2">
      <c r="A3" s="83" t="s">
        <v>88</v>
      </c>
      <c r="B3" s="84" t="s">
        <v>195</v>
      </c>
      <c r="C3" s="4" t="s">
        <v>86</v>
      </c>
      <c r="D3" s="4" t="s">
        <v>112</v>
      </c>
      <c r="E3" s="4" t="s">
        <v>115</v>
      </c>
    </row>
    <row r="4" spans="1:5" x14ac:dyDescent="0.2">
      <c r="A4" s="83" t="s">
        <v>180</v>
      </c>
      <c r="B4" s="83" t="s">
        <v>181</v>
      </c>
      <c r="C4" s="4" t="s">
        <v>87</v>
      </c>
      <c r="D4" s="4" t="s">
        <v>11</v>
      </c>
      <c r="E4" s="4" t="s">
        <v>12</v>
      </c>
    </row>
    <row r="5" spans="1:5" x14ac:dyDescent="0.2">
      <c r="A5" s="83" t="s">
        <v>107</v>
      </c>
      <c r="B5" s="83" t="s">
        <v>110</v>
      </c>
      <c r="C5" s="4" t="s">
        <v>104</v>
      </c>
      <c r="D5" s="4" t="s">
        <v>114</v>
      </c>
      <c r="E5" s="4" t="s">
        <v>116</v>
      </c>
    </row>
    <row r="6" spans="1:5" x14ac:dyDescent="0.2">
      <c r="A6" s="83" t="s">
        <v>108</v>
      </c>
      <c r="B6" s="83" t="s">
        <v>111</v>
      </c>
      <c r="D6" s="4" t="s">
        <v>4</v>
      </c>
      <c r="E6" s="4" t="s">
        <v>7</v>
      </c>
    </row>
    <row r="7" spans="1:5" x14ac:dyDescent="0.2">
      <c r="A7" s="83" t="s">
        <v>109</v>
      </c>
      <c r="B7" s="83"/>
      <c r="D7" s="4" t="s">
        <v>113</v>
      </c>
      <c r="E7" s="4" t="s">
        <v>117</v>
      </c>
    </row>
  </sheetData>
  <mergeCells count="1">
    <mergeCell ref="A1:B1"/>
  </mergeCells>
  <pageMargins left="0.7" right="0.7" top="0.75" bottom="0.75" header="0.3" footer="0.3"/>
  <pageSetup paperSize="9" orientation="portrait"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3"/>
  <sheetViews>
    <sheetView workbookViewId="0">
      <selection activeCell="G24" sqref="G24"/>
    </sheetView>
  </sheetViews>
  <sheetFormatPr defaultRowHeight="12.75" x14ac:dyDescent="0.2"/>
  <cols>
    <col min="1" max="1" width="15.28515625" customWidth="1"/>
    <col min="2" max="6" width="11.7109375" customWidth="1"/>
    <col min="8" max="8" width="18" customWidth="1"/>
    <col min="10" max="10" width="10.140625" customWidth="1"/>
  </cols>
  <sheetData>
    <row r="1" spans="1:10" x14ac:dyDescent="0.2">
      <c r="A1" s="20" t="s">
        <v>47</v>
      </c>
    </row>
    <row r="2" spans="1:10" x14ac:dyDescent="0.2">
      <c r="B2" s="14" t="str">
        <f>master!E3</f>
        <v>General</v>
      </c>
      <c r="C2" s="14" t="str">
        <f>master!E4</f>
        <v>Physical</v>
      </c>
      <c r="D2" s="14" t="str">
        <f>master!E5</f>
        <v>Activity</v>
      </c>
      <c r="E2" s="14" t="str">
        <f>master!E6</f>
        <v>Mental</v>
      </c>
      <c r="F2" s="14" t="str">
        <f>master!E7</f>
        <v>Motivation</v>
      </c>
      <c r="H2" s="15" t="s">
        <v>53</v>
      </c>
      <c r="I2" s="15" t="s">
        <v>45</v>
      </c>
      <c r="J2" s="15" t="s">
        <v>78</v>
      </c>
    </row>
    <row r="3" spans="1:10" x14ac:dyDescent="0.2">
      <c r="A3" t="s">
        <v>9</v>
      </c>
      <c r="B3" s="15">
        <v>1082</v>
      </c>
      <c r="C3" s="15">
        <v>1081</v>
      </c>
      <c r="D3" s="15">
        <v>1081</v>
      </c>
      <c r="E3" s="15">
        <v>1080</v>
      </c>
      <c r="F3" s="15">
        <v>1080</v>
      </c>
      <c r="H3" t="s">
        <v>40</v>
      </c>
      <c r="I3" t="s">
        <v>186</v>
      </c>
    </row>
    <row r="4" spans="1:10" x14ac:dyDescent="0.2">
      <c r="A4" s="4" t="s">
        <v>50</v>
      </c>
      <c r="B4" s="15">
        <v>4</v>
      </c>
      <c r="C4" s="15">
        <v>4</v>
      </c>
      <c r="D4" s="15">
        <v>4</v>
      </c>
      <c r="E4" s="15">
        <v>4</v>
      </c>
      <c r="F4" s="15">
        <v>4</v>
      </c>
      <c r="H4" t="s">
        <v>44</v>
      </c>
      <c r="I4" t="s">
        <v>46</v>
      </c>
      <c r="J4" t="s">
        <v>80</v>
      </c>
    </row>
    <row r="5" spans="1:10" x14ac:dyDescent="0.2">
      <c r="A5" s="4" t="s">
        <v>51</v>
      </c>
      <c r="B5" s="15">
        <v>20</v>
      </c>
      <c r="C5" s="15">
        <v>20</v>
      </c>
      <c r="D5" s="15">
        <v>20</v>
      </c>
      <c r="E5" s="15">
        <v>20</v>
      </c>
      <c r="F5" s="15">
        <v>20</v>
      </c>
      <c r="I5" t="s">
        <v>79</v>
      </c>
      <c r="J5" t="s">
        <v>81</v>
      </c>
    </row>
    <row r="6" spans="1:10" x14ac:dyDescent="0.2">
      <c r="A6" s="4" t="s">
        <v>187</v>
      </c>
      <c r="B6" s="15">
        <v>4</v>
      </c>
      <c r="C6" s="15">
        <v>4</v>
      </c>
      <c r="D6" s="15">
        <v>4</v>
      </c>
      <c r="E6" s="15">
        <v>4</v>
      </c>
      <c r="F6" s="15">
        <v>4</v>
      </c>
    </row>
    <row r="7" spans="1:10" x14ac:dyDescent="0.2">
      <c r="A7" s="4" t="s">
        <v>121</v>
      </c>
      <c r="B7" s="18">
        <v>14.41774</v>
      </c>
      <c r="C7" s="18">
        <v>16.281220000000001</v>
      </c>
      <c r="D7" s="18">
        <v>21.184090000000001</v>
      </c>
      <c r="E7" s="18">
        <v>27.22222</v>
      </c>
      <c r="F7" s="18">
        <v>26.574069999999999</v>
      </c>
    </row>
    <row r="8" spans="1:10" x14ac:dyDescent="0.2">
      <c r="A8" s="4" t="s">
        <v>122</v>
      </c>
      <c r="B8" s="18">
        <v>3.4195929999999999</v>
      </c>
      <c r="C8" s="18">
        <v>3.5152640000000002</v>
      </c>
      <c r="D8" s="18">
        <v>3.0527289999999998</v>
      </c>
      <c r="E8" s="18">
        <v>1.2037040000000001</v>
      </c>
      <c r="F8" s="18">
        <v>0.92592589999999997</v>
      </c>
    </row>
    <row r="9" spans="1:10" x14ac:dyDescent="0.2">
      <c r="A9" t="s">
        <v>37</v>
      </c>
      <c r="B9" s="18">
        <v>0.59</v>
      </c>
      <c r="C9" s="18">
        <v>0.73</v>
      </c>
      <c r="D9" s="18">
        <v>1.1399999999999999</v>
      </c>
      <c r="E9" s="18">
        <v>1.0900000000000001</v>
      </c>
      <c r="F9" s="18">
        <v>1.58</v>
      </c>
      <c r="H9" t="s">
        <v>123</v>
      </c>
    </row>
    <row r="10" spans="1:10" x14ac:dyDescent="0.2">
      <c r="A10" t="s">
        <v>38</v>
      </c>
      <c r="B10" s="19">
        <v>7.4363719999999994E-2</v>
      </c>
      <c r="C10" s="19">
        <v>7.4398019999999995E-2</v>
      </c>
      <c r="D10" s="19">
        <v>7.4398019999999995E-2</v>
      </c>
      <c r="E10" s="19">
        <v>7.4432360000000003E-2</v>
      </c>
      <c r="F10" s="19">
        <v>7.4432360000000003E-2</v>
      </c>
      <c r="H10" s="7" t="s">
        <v>124</v>
      </c>
      <c r="I10" t="s">
        <v>127</v>
      </c>
    </row>
    <row r="11" spans="1:10" x14ac:dyDescent="0.2">
      <c r="A11" t="s">
        <v>39</v>
      </c>
      <c r="B11" s="19">
        <v>7.9116520000000001</v>
      </c>
      <c r="C11" s="19">
        <v>9.7894450000000006</v>
      </c>
      <c r="D11" s="19">
        <v>15.34061</v>
      </c>
      <c r="E11" s="19">
        <v>14.7165</v>
      </c>
      <c r="F11" s="19">
        <v>21.298480000000001</v>
      </c>
      <c r="H11" t="s">
        <v>125</v>
      </c>
      <c r="I11" s="4" t="s">
        <v>133</v>
      </c>
    </row>
    <row r="12" spans="1:10" x14ac:dyDescent="0.2">
      <c r="A12" t="s">
        <v>36</v>
      </c>
      <c r="B12" s="37" t="s">
        <v>118</v>
      </c>
      <c r="C12" s="37" t="s">
        <v>118</v>
      </c>
      <c r="D12" s="37" t="s">
        <v>118</v>
      </c>
      <c r="E12" s="37" t="s">
        <v>118</v>
      </c>
      <c r="F12" s="37" t="s">
        <v>118</v>
      </c>
      <c r="H12" s="53" t="s">
        <v>126</v>
      </c>
      <c r="I12" s="37" t="s">
        <v>128</v>
      </c>
    </row>
    <row r="13" spans="1:10" x14ac:dyDescent="0.2">
      <c r="A13" t="s">
        <v>41</v>
      </c>
      <c r="B13" s="16"/>
      <c r="C13" s="16"/>
      <c r="D13" s="16"/>
      <c r="E13" s="16"/>
      <c r="F13" s="16"/>
    </row>
    <row r="14" spans="1:10" x14ac:dyDescent="0.2">
      <c r="A14" t="s">
        <v>42</v>
      </c>
      <c r="B14" s="17">
        <v>0.93139000000000005</v>
      </c>
      <c r="C14" s="17">
        <v>0.92093999999999998</v>
      </c>
      <c r="D14" s="17">
        <v>0.85890999999999995</v>
      </c>
      <c r="E14" s="17">
        <v>0.87156</v>
      </c>
      <c r="F14" s="17">
        <v>0.83404</v>
      </c>
      <c r="H14" t="s">
        <v>129</v>
      </c>
    </row>
    <row r="15" spans="1:10" x14ac:dyDescent="0.2">
      <c r="A15" t="s">
        <v>43</v>
      </c>
      <c r="B15" s="17">
        <v>2.2E-16</v>
      </c>
      <c r="C15" s="17">
        <v>2.2E-16</v>
      </c>
      <c r="D15" s="17">
        <v>2.2E-16</v>
      </c>
      <c r="E15" s="17">
        <v>2.2E-16</v>
      </c>
      <c r="F15" s="17">
        <v>2.2E-16</v>
      </c>
    </row>
    <row r="16" spans="1:10" x14ac:dyDescent="0.2">
      <c r="B16" s="16"/>
      <c r="C16" s="16"/>
      <c r="D16" s="16"/>
      <c r="E16" s="16"/>
      <c r="F16" s="16"/>
    </row>
    <row r="17" spans="1:6" x14ac:dyDescent="0.2">
      <c r="A17" s="4" t="str">
        <f>H2</f>
        <v>Transformation?</v>
      </c>
      <c r="B17" s="16" t="s">
        <v>40</v>
      </c>
      <c r="C17" s="16" t="s">
        <v>40</v>
      </c>
      <c r="D17" s="16" t="s">
        <v>40</v>
      </c>
      <c r="E17" s="16" t="s">
        <v>40</v>
      </c>
      <c r="F17" s="16" t="s">
        <v>40</v>
      </c>
    </row>
    <row r="18" spans="1:6" x14ac:dyDescent="0.2">
      <c r="A18" t="str">
        <f>I2</f>
        <v>Type</v>
      </c>
      <c r="B18" s="16" t="s">
        <v>186</v>
      </c>
      <c r="C18" s="16" t="s">
        <v>186</v>
      </c>
      <c r="D18" s="16" t="s">
        <v>186</v>
      </c>
      <c r="E18" s="16" t="s">
        <v>186</v>
      </c>
      <c r="F18" s="16" t="s">
        <v>186</v>
      </c>
    </row>
    <row r="19" spans="1:6" x14ac:dyDescent="0.2">
      <c r="A19" t="str">
        <f>J2</f>
        <v>Retning</v>
      </c>
      <c r="B19" s="16"/>
      <c r="C19" s="16"/>
      <c r="D19" s="16"/>
      <c r="E19" s="16"/>
      <c r="F19" s="16"/>
    </row>
    <row r="21" spans="1:6" x14ac:dyDescent="0.2">
      <c r="A21" s="20" t="s">
        <v>119</v>
      </c>
    </row>
    <row r="22" spans="1:6" x14ac:dyDescent="0.2">
      <c r="B22" s="14" t="str">
        <f>master!E3</f>
        <v>General</v>
      </c>
      <c r="C22" s="14" t="str">
        <f>master!E4</f>
        <v>Physical</v>
      </c>
      <c r="D22" s="14" t="str">
        <f>master!E5</f>
        <v>Activity</v>
      </c>
      <c r="E22" s="14" t="str">
        <f>master!E6</f>
        <v>Mental</v>
      </c>
      <c r="F22" s="14" t="str">
        <f>master!E7</f>
        <v>Motivation</v>
      </c>
    </row>
    <row r="23" spans="1:6" x14ac:dyDescent="0.2">
      <c r="A23" t="s">
        <v>37</v>
      </c>
      <c r="B23" s="19">
        <v>0.24</v>
      </c>
      <c r="C23" s="19">
        <v>0.34559129999999999</v>
      </c>
      <c r="D23" s="19">
        <v>0.76012570000000002</v>
      </c>
      <c r="E23" s="19">
        <v>0.67865189999999997</v>
      </c>
      <c r="F23" s="19">
        <v>1.02681</v>
      </c>
    </row>
    <row r="24" spans="1:6" x14ac:dyDescent="0.2">
      <c r="A24" t="s">
        <v>38</v>
      </c>
      <c r="B24" s="19">
        <v>7.4363719999999994E-2</v>
      </c>
      <c r="C24" s="19">
        <v>7.4398019999999995E-2</v>
      </c>
      <c r="D24" s="19">
        <v>7.4398019999999995E-2</v>
      </c>
      <c r="E24" s="19">
        <v>7.4432360000000003E-2</v>
      </c>
      <c r="F24" s="19">
        <v>7.4432360000000003E-2</v>
      </c>
    </row>
    <row r="25" spans="1:6" x14ac:dyDescent="0.2">
      <c r="A25" t="s">
        <v>39</v>
      </c>
      <c r="B25" s="19">
        <v>3.1746029999999998</v>
      </c>
      <c r="C25" s="19">
        <v>4.645168</v>
      </c>
      <c r="D25" s="19">
        <v>10.21702</v>
      </c>
      <c r="E25" s="19">
        <v>9.1177010000000003</v>
      </c>
      <c r="F25" s="19">
        <v>13.795210000000001</v>
      </c>
    </row>
    <row r="26" spans="1:6" x14ac:dyDescent="0.2">
      <c r="B26" s="16"/>
      <c r="C26" s="16"/>
      <c r="D26" s="16"/>
      <c r="E26" s="16"/>
      <c r="F26" s="16"/>
    </row>
    <row r="27" spans="1:6" x14ac:dyDescent="0.2">
      <c r="A27" s="20" t="s">
        <v>120</v>
      </c>
    </row>
    <row r="28" spans="1:6" x14ac:dyDescent="0.2">
      <c r="B28" s="14" t="str">
        <f>master!E3</f>
        <v>General</v>
      </c>
      <c r="C28" s="14" t="str">
        <f>master!E4</f>
        <v>Physical</v>
      </c>
      <c r="D28" s="14" t="str">
        <f>master!E5</f>
        <v>Activity</v>
      </c>
      <c r="E28" s="14" t="str">
        <f>master!E6</f>
        <v>Mental</v>
      </c>
      <c r="F28" s="14" t="str">
        <f>master!E7</f>
        <v>Motivation</v>
      </c>
    </row>
    <row r="29" spans="1:6" x14ac:dyDescent="0.2">
      <c r="A29" t="s">
        <v>37</v>
      </c>
      <c r="B29" s="19">
        <v>-0.10333050000000001</v>
      </c>
      <c r="C29" s="19">
        <v>-2.1229649999999999E-2</v>
      </c>
      <c r="D29" s="19">
        <v>0.40661249999999999</v>
      </c>
      <c r="E29" s="19">
        <v>0.32383529999999999</v>
      </c>
      <c r="F29" s="19">
        <v>0.58815629999999997</v>
      </c>
    </row>
    <row r="30" spans="1:6" x14ac:dyDescent="0.2">
      <c r="A30" t="s">
        <v>38</v>
      </c>
      <c r="B30" s="19">
        <v>7.4363719999999994E-2</v>
      </c>
      <c r="C30" s="19">
        <v>7.4398019999999995E-2</v>
      </c>
      <c r="D30" s="19">
        <v>7.4398019999999995E-2</v>
      </c>
      <c r="E30" s="19">
        <v>7.4432360000000003E-2</v>
      </c>
      <c r="F30" s="19">
        <v>7.4432360000000003E-2</v>
      </c>
    </row>
    <row r="31" spans="1:6" x14ac:dyDescent="0.2">
      <c r="A31" t="s">
        <v>39</v>
      </c>
      <c r="B31" s="19">
        <v>-1.3895280000000001</v>
      </c>
      <c r="C31" s="19">
        <v>-0.2853523</v>
      </c>
      <c r="D31" s="19">
        <v>5.4653679999999998</v>
      </c>
      <c r="E31" s="19">
        <v>4.350733</v>
      </c>
      <c r="F31" s="19">
        <v>7.9018899999999999</v>
      </c>
    </row>
    <row r="33" spans="1:6" x14ac:dyDescent="0.2">
      <c r="A33" t="s">
        <v>36</v>
      </c>
      <c r="B33" s="37"/>
      <c r="C33" s="37"/>
      <c r="D33" s="37"/>
      <c r="E33" s="37"/>
      <c r="F33" s="37"/>
    </row>
  </sheetData>
  <conditionalFormatting sqref="B17:F17">
    <cfRule type="containsText" dxfId="13" priority="1" stopIfTrue="1" operator="containsText" text="Nej">
      <formula>NOT(ISERROR(SEARCH("Nej",B17)))</formula>
    </cfRule>
    <cfRule type="containsText" dxfId="12" priority="2" stopIfTrue="1" operator="containsText" text="Ja">
      <formula>NOT(ISERROR(SEARCH("Ja",B17)))</formula>
    </cfRule>
    <cfRule type="colorScale" priority="3">
      <colorScale>
        <cfvo type="formula" val="&quot;&quot;&quot;Ja&quot;&quot;&quot;"/>
        <cfvo type="formula" val="&quot;&quot;&quot;Nej&quot;&quot;&quot;"/>
        <color theme="5"/>
        <color theme="4"/>
      </colorScale>
    </cfRule>
  </conditionalFormatting>
  <dataValidations count="3">
    <dataValidation type="list" allowBlank="1" showInputMessage="1" showErrorMessage="1" sqref="B17:F17" xr:uid="{00000000-0002-0000-0800-000000000000}">
      <formula1>$H$3:$H$4</formula1>
    </dataValidation>
    <dataValidation type="list" allowBlank="1" showInputMessage="1" showErrorMessage="1" sqref="B18:F18" xr:uid="{00000000-0002-0000-0800-000001000000}">
      <formula1>$I$3:$I$5</formula1>
    </dataValidation>
    <dataValidation type="list" allowBlank="1" showInputMessage="1" showErrorMessage="1" sqref="B19:F19" xr:uid="{00000000-0002-0000-0800-000002000000}">
      <formula1>$J$3:$J$5</formula1>
    </dataValidation>
  </dataValidations>
  <pageMargins left="0.7" right="0.7" top="0.75" bottom="0.75" header="0.3" footer="0.3"/>
  <pageSetup paperSize="9"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N220"/>
  <sheetViews>
    <sheetView workbookViewId="0">
      <selection activeCell="T105" sqref="T105"/>
    </sheetView>
  </sheetViews>
  <sheetFormatPr defaultRowHeight="12.75" x14ac:dyDescent="0.2"/>
  <cols>
    <col min="1" max="1" width="22.7109375" bestFit="1" customWidth="1"/>
    <col min="2" max="2" width="11" customWidth="1"/>
    <col min="3" max="7" width="9.140625" customWidth="1"/>
    <col min="9" max="9" width="9.140625" customWidth="1"/>
    <col min="15" max="15" width="9.5703125" bestFit="1" customWidth="1"/>
  </cols>
  <sheetData>
    <row r="1" spans="1:56" x14ac:dyDescent="0.2">
      <c r="A1" t="s">
        <v>52</v>
      </c>
      <c r="C1" s="14" t="str">
        <f>master!E3</f>
        <v>General</v>
      </c>
      <c r="D1" s="14" t="str">
        <f>master!E4</f>
        <v>Physical</v>
      </c>
      <c r="E1" s="14" t="str">
        <f>master!E5</f>
        <v>Activity</v>
      </c>
      <c r="F1" s="14" t="str">
        <f>master!E6</f>
        <v>Mental</v>
      </c>
      <c r="G1" s="14" t="str">
        <f>master!E7</f>
        <v>Motivation</v>
      </c>
      <c r="I1" s="256" t="s">
        <v>82</v>
      </c>
      <c r="J1" s="256"/>
      <c r="K1" s="256"/>
    </row>
    <row r="2" spans="1:56" x14ac:dyDescent="0.2">
      <c r="A2" s="4" t="str">
        <f>normalitet!H2</f>
        <v>Transformation?</v>
      </c>
      <c r="C2" s="15" t="str">
        <f>normalitet!B17</f>
        <v>Ja</v>
      </c>
      <c r="D2" s="15" t="str">
        <f>normalitet!C17</f>
        <v>Ja</v>
      </c>
      <c r="E2" s="15" t="str">
        <f>normalitet!D17</f>
        <v>Ja</v>
      </c>
      <c r="F2" s="15" t="str">
        <f>normalitet!E17</f>
        <v>Ja</v>
      </c>
      <c r="G2" s="15" t="str">
        <f>normalitet!F17</f>
        <v>Ja</v>
      </c>
      <c r="U2" s="20" t="s">
        <v>188</v>
      </c>
    </row>
    <row r="3" spans="1:56" x14ac:dyDescent="0.2">
      <c r="A3" s="4" t="str">
        <f>normalitet!I2</f>
        <v>Type</v>
      </c>
      <c r="C3" s="15" t="str">
        <f>IF(ISBLANK(normalitet!B18),"",normalitet!B18)</f>
        <v>Smooth</v>
      </c>
      <c r="D3" s="15" t="str">
        <f>IF(ISBLANK(normalitet!C18),"",normalitet!C18)</f>
        <v>Smooth</v>
      </c>
      <c r="E3" s="15" t="str">
        <f>IF(ISBLANK(normalitet!D18),"",normalitet!D18)</f>
        <v>Smooth</v>
      </c>
      <c r="F3" s="15" t="str">
        <f>IF(ISBLANK(normalitet!E18),"",normalitet!E18)</f>
        <v>Smooth</v>
      </c>
      <c r="G3" s="15" t="str">
        <f>IF(ISBLANK(normalitet!F18),"",normalitet!F18)</f>
        <v>Smooth</v>
      </c>
      <c r="U3" t="s">
        <v>187</v>
      </c>
      <c r="V3">
        <f>normalitet!B6</f>
        <v>4</v>
      </c>
      <c r="W3">
        <f>normalitet!C6</f>
        <v>4</v>
      </c>
      <c r="X3">
        <f>normalitet!D6</f>
        <v>4</v>
      </c>
      <c r="Y3">
        <f>normalitet!E6</f>
        <v>4</v>
      </c>
      <c r="Z3">
        <f>normalitet!F6</f>
        <v>4</v>
      </c>
    </row>
    <row r="4" spans="1:56" x14ac:dyDescent="0.2">
      <c r="A4" s="4" t="str">
        <f>normalitet!J2</f>
        <v>Retning</v>
      </c>
      <c r="C4" s="15" t="str">
        <f>IF(ISBLANK(normalitet!B19),"",normalitet!B19)</f>
        <v/>
      </c>
      <c r="D4" s="15" t="str">
        <f>IF(ISBLANK(normalitet!C19),"",normalitet!C19)</f>
        <v/>
      </c>
      <c r="E4" s="15" t="str">
        <f>IF(ISBLANK(normalitet!D19),"",normalitet!D19)</f>
        <v/>
      </c>
      <c r="F4" s="15" t="str">
        <f>IF(ISBLANK(normalitet!E19),"",normalitet!E19)</f>
        <v/>
      </c>
      <c r="G4" s="15" t="str">
        <f>IF(ISBLANK(normalitet!F19),"",normalitet!F19)</f>
        <v/>
      </c>
      <c r="I4" s="4" t="s">
        <v>131</v>
      </c>
      <c r="S4" s="7"/>
      <c r="U4" t="s">
        <v>189</v>
      </c>
      <c r="V4" s="8" t="str">
        <f>C16</f>
        <v/>
      </c>
      <c r="W4" s="8" t="str">
        <f>D16</f>
        <v/>
      </c>
      <c r="X4" s="8" t="str">
        <f>E16</f>
        <v/>
      </c>
      <c r="Y4" s="8" t="str">
        <f>F16</f>
        <v/>
      </c>
      <c r="Z4" s="8" t="str">
        <f>G16</f>
        <v/>
      </c>
    </row>
    <row r="5" spans="1:56" x14ac:dyDescent="0.2">
      <c r="A5" t="s">
        <v>18</v>
      </c>
      <c r="C5" s="21" t="str">
        <f>IFERROR(IF(C2="Nej",C19,IF(C3="Smooth",V6,IF(C3="Kvrod",IF(C4="Positiv",I19,100-I26),IF(C4="Positiv",O19,100-O26)))),"")</f>
        <v/>
      </c>
      <c r="D5" s="21" t="str">
        <f>IFERROR(IF(D2="Nej",D19,IF(D3="Smooth",W6,IF(D3="Kvrod",IF(D4="Positiv",J19,100-J26),IF(D4="Positiv",P19,100-P26)))),"")</f>
        <v/>
      </c>
      <c r="E5" s="21" t="str">
        <f>IFERROR(IF(E2="Nej",E19,IF(E3="Smooth",X6,IF(E3="Kvrod",IF(E4="Positiv",K19,100-K26),IF(E4="Positiv",Q19,100-Q26)))),"")</f>
        <v/>
      </c>
      <c r="F5" s="21" t="str">
        <f>IFERROR(IF(F2="Nej",F19,IF(F3="Smooth",Y6,IF(F3="Kvrod",IF(F4="Positiv",L19,100-L26),IF(F4="Positiv",R19,100-R26)))),"")</f>
        <v/>
      </c>
      <c r="G5" s="21" t="str">
        <f>IFERROR(IF(G2="Nej",G19,IF(G3="Smooth",Z6,IF(G3="Kvrod",IF(G4="Positiv",M19,100-M26),IF(G4="Positiv",S19,100-S26)))),"")</f>
        <v/>
      </c>
      <c r="I5" s="4" t="s">
        <v>132</v>
      </c>
      <c r="U5" t="s">
        <v>190</v>
      </c>
      <c r="V5">
        <v>2</v>
      </c>
      <c r="W5">
        <v>3</v>
      </c>
      <c r="X5">
        <v>4</v>
      </c>
      <c r="Y5">
        <v>5</v>
      </c>
      <c r="Z5">
        <v>6</v>
      </c>
    </row>
    <row r="6" spans="1:56" x14ac:dyDescent="0.2">
      <c r="A6" t="s">
        <v>142</v>
      </c>
      <c r="C6" s="21" t="str">
        <f>IFERROR(IF(C2="Nej",C17,IF(C3="Smooth","N/A",IF(C3="Kvrod",IF(C4="Positiv",I17^2,normalitet!B$5+1-I24^2),IF(C4="Positiv",10^O17,normalitet!B$5+1-10^O24)))),"")</f>
        <v>N/A</v>
      </c>
      <c r="D6" s="21" t="str">
        <f>IFERROR(IF(D2="Nej",D17,IF(D3="Smooth","N/A",IF(D3="Kvrod",IF(D4="Positiv",J17^2,normalitet!C$5+1-J24^2),IF(D4="Positiv",10^P17,normalitet!C$5+1-10^P24)))),"")</f>
        <v>N/A</v>
      </c>
      <c r="E6" s="21" t="str">
        <f>IFERROR(IF(E2="Nej",E17,IF(E3="Smooth","N/A",IF(E3="Kvrod",IF(E4="Positiv",K17^2,normalitet!D$5+1-K24^2),IF(E4="Positiv",10^Q17,normalitet!D$5+1-10^Q24)))),"")</f>
        <v>N/A</v>
      </c>
      <c r="F6" s="21" t="str">
        <f>IFERROR(IF(F2="Nej",F17,IF(F3="Smooth","N/A",IF(F3="Kvrod",IF(F4="Positiv",L17^2,normalitet!E$5+1-L24^2),IF(F4="Positiv",10^R17,normalitet!E$5+1-10^R24)))),"")</f>
        <v>N/A</v>
      </c>
      <c r="G6" s="21" t="str">
        <f>IFERROR(IF(G2="Nej",G17,IF(G3="Smooth","N/A",IF(G3="Kvrod",IF(G4="Positiv",M17^2,normalitet!F$5+1-M24^2),IF(G4="Positiv",10^S17,normalitet!F$5+1-10^S24)))),"")</f>
        <v>N/A</v>
      </c>
      <c r="U6" t="s">
        <v>8</v>
      </c>
      <c r="V6" t="str" cm="1">
        <f t="array" ref="V6">IFERROR(_xlfn.IFS($B$11=$Z$13,V14,$B$11=$Z$50,V62,$B$11=$Z$99,V101,$B$11=$Z$139,V141),"")</f>
        <v/>
      </c>
      <c r="W6" t="str" cm="1">
        <f t="array" ref="W6">IFERROR(_xlfn.IFS($B$11=$Z$13,W14,$B$11=$Z$50,W62,$B$11=$Z$99,W101,$B$11=$Z$139,W141),"")</f>
        <v/>
      </c>
      <c r="X6" t="str" cm="1">
        <f t="array" ref="X6">IFERROR(_xlfn.IFS($B$11=$Z$13,X14,$B$11=$Z$50,X62,$B$11=$Z$99,X101,$B$11=$Z$139,X141),"")</f>
        <v/>
      </c>
      <c r="Y6" t="str" cm="1">
        <f t="array" ref="Y6">IFERROR(_xlfn.IFS($B$11=$Z$13,Y14,$B$11=$Z$50,Y62,$B$11=$Z$99,Y101,$B$11=$Z$139,Y141),"")</f>
        <v/>
      </c>
      <c r="Z6" t="str" cm="1">
        <f t="array" ref="Z6">IFERROR(_xlfn.IFS($B$11=$Z$13,Z14,$B$11=$Z$50,Z62,$B$11=$Z$99,Z101,$B$11=$Z$139,Z141),"")</f>
        <v/>
      </c>
    </row>
    <row r="8" spans="1:56" x14ac:dyDescent="0.2">
      <c r="C8" s="78" t="s">
        <v>176</v>
      </c>
      <c r="D8" s="78" t="s">
        <v>175</v>
      </c>
    </row>
    <row r="9" spans="1:56" x14ac:dyDescent="0.2">
      <c r="A9" s="12" t="s">
        <v>24</v>
      </c>
      <c r="B9" s="13" t="str">
        <f>IF(OR('2) Referencedata'!I12=master!C3,'2) Referencedata'!I12=master!C4),"Ja","Nej")</f>
        <v>Nej</v>
      </c>
      <c r="C9" s="77" t="str">
        <f>IF(ISBLANK('2) Referencedata'!I12),"",'2) Referencedata'!I12)</f>
        <v/>
      </c>
      <c r="D9" s="12">
        <f>IF(C9=master!C3,1,0)</f>
        <v>0</v>
      </c>
      <c r="E9" s="12"/>
      <c r="F9" s="12"/>
      <c r="G9" s="12"/>
    </row>
    <row r="10" spans="1:56" x14ac:dyDescent="0.2">
      <c r="A10" s="12" t="s">
        <v>169</v>
      </c>
      <c r="B10" s="13" t="str">
        <f>IF(ISBLANK('2) Referencedata'!I13),"Nej","Ja")</f>
        <v>Nej</v>
      </c>
      <c r="C10" s="76" t="str">
        <f>IF(ISBLANK('2) Referencedata'!I13),"",'2) Referencedata'!I13)</f>
        <v/>
      </c>
      <c r="D10" s="12"/>
      <c r="E10" s="12"/>
      <c r="F10" s="12"/>
      <c r="G10" s="12"/>
    </row>
    <row r="11" spans="1:56" x14ac:dyDescent="0.2">
      <c r="A11" s="12" t="s">
        <v>172</v>
      </c>
      <c r="B11" s="13">
        <f>IF(AND(B9="Ja",B10="Ja"),1,IF(B9="Ja",2,IF(B10="Ja",3,0)))</f>
        <v>0</v>
      </c>
      <c r="C11" s="12"/>
      <c r="D11" s="12"/>
      <c r="E11" s="12"/>
      <c r="F11" s="12"/>
      <c r="G11" s="12"/>
    </row>
    <row r="12" spans="1:56" x14ac:dyDescent="0.2">
      <c r="A12" s="12" t="s">
        <v>173</v>
      </c>
      <c r="B12" s="257" t="str" cm="1">
        <f t="array" ref="B12">_xlfn.IFS(B11=0,"Uden korrektion",B11=1,"Korrektion for køn og alder",B11=2,"Korrektion for køn",B11=3,"Korrektion for alder")</f>
        <v>Uden korrektion</v>
      </c>
      <c r="C12" s="257"/>
      <c r="D12" s="257"/>
      <c r="E12" s="257"/>
      <c r="F12" s="257"/>
      <c r="G12" s="257"/>
    </row>
    <row r="13" spans="1:56" s="62" customFormat="1" x14ac:dyDescent="0.2">
      <c r="B13" s="37"/>
      <c r="U13" s="11" t="s">
        <v>143</v>
      </c>
      <c r="V13" s="12"/>
      <c r="W13" s="12"/>
      <c r="X13" s="12"/>
      <c r="Y13" s="90" t="s">
        <v>206</v>
      </c>
      <c r="Z13" s="12">
        <v>0</v>
      </c>
      <c r="AA13" s="12"/>
      <c r="AB13" s="12"/>
      <c r="AC13" s="11"/>
      <c r="AD13" s="12"/>
      <c r="AE13" s="12"/>
      <c r="AF13" s="12"/>
      <c r="AG13" s="12"/>
      <c r="AH13" s="12"/>
      <c r="AI13" s="11"/>
      <c r="AJ13" s="12"/>
      <c r="AK13" s="12"/>
      <c r="AL13" s="12"/>
      <c r="AM13" s="12"/>
    </row>
    <row r="14" spans="1:56" x14ac:dyDescent="0.2">
      <c r="C14" s="253" t="s">
        <v>49</v>
      </c>
      <c r="D14" s="254"/>
      <c r="E14" s="254"/>
      <c r="F14" s="254"/>
      <c r="G14" s="255"/>
      <c r="I14" s="253" t="s">
        <v>48</v>
      </c>
      <c r="J14" s="254"/>
      <c r="K14" s="254"/>
      <c r="L14" s="254"/>
      <c r="M14" s="255"/>
      <c r="O14" s="253" t="s">
        <v>130</v>
      </c>
      <c r="P14" s="254"/>
      <c r="Q14" s="254"/>
      <c r="R14" s="254"/>
      <c r="S14" s="255"/>
      <c r="U14" s="4" t="s">
        <v>8</v>
      </c>
      <c r="V14" s="89" t="str">
        <f>IFERROR(VLOOKUP(V$4,$U$16:$Z$48,V$5,FALSE)*100,"")</f>
        <v/>
      </c>
      <c r="W14" s="89" t="str">
        <f t="shared" ref="W14:Z14" si="0">IFERROR(VLOOKUP(W$4,$U$16:$Z$48,W$5,FALSE)*100,"")</f>
        <v/>
      </c>
      <c r="X14" s="89" t="str">
        <f t="shared" si="0"/>
        <v/>
      </c>
      <c r="Y14" s="89" t="str">
        <f t="shared" si="0"/>
        <v/>
      </c>
      <c r="Z14" s="89" t="str">
        <f t="shared" si="0"/>
        <v/>
      </c>
      <c r="AA14" s="20" t="s">
        <v>212</v>
      </c>
      <c r="AC14" s="87"/>
      <c r="AD14" s="87"/>
      <c r="AE14" s="87"/>
      <c r="AF14" s="88"/>
      <c r="AH14" s="20" t="s">
        <v>213</v>
      </c>
      <c r="AN14" s="20" t="s">
        <v>209</v>
      </c>
      <c r="AT14" s="20" t="s">
        <v>211</v>
      </c>
      <c r="AZ14" s="20" t="s">
        <v>210</v>
      </c>
    </row>
    <row r="15" spans="1:56" x14ac:dyDescent="0.2">
      <c r="A15" s="12"/>
      <c r="B15" s="12"/>
      <c r="C15" s="23" t="str">
        <f>master!E3</f>
        <v>General</v>
      </c>
      <c r="D15" s="24" t="str">
        <f>master!E4</f>
        <v>Physical</v>
      </c>
      <c r="E15" s="24" t="str">
        <f>master!E5</f>
        <v>Activity</v>
      </c>
      <c r="F15" s="24" t="str">
        <f>master!E6</f>
        <v>Mental</v>
      </c>
      <c r="G15" s="25" t="str">
        <f>master!E7</f>
        <v>Motivation</v>
      </c>
      <c r="H15" s="12"/>
      <c r="I15" s="23" t="str">
        <f>master!$E$3</f>
        <v>General</v>
      </c>
      <c r="J15" s="24" t="str">
        <f>master!$E$4</f>
        <v>Physical</v>
      </c>
      <c r="K15" s="24" t="str">
        <f>master!$E$5</f>
        <v>Activity</v>
      </c>
      <c r="L15" s="24" t="str">
        <f>master!$E$6</f>
        <v>Mental</v>
      </c>
      <c r="M15" s="25" t="str">
        <f>master!$E$7</f>
        <v>Motivation</v>
      </c>
      <c r="N15" s="12"/>
      <c r="O15" s="23" t="str">
        <f>master!$E$3</f>
        <v>General</v>
      </c>
      <c r="P15" s="24" t="str">
        <f>master!$E$4</f>
        <v>Physical</v>
      </c>
      <c r="Q15" s="24" t="str">
        <f>master!$E$5</f>
        <v>Activity</v>
      </c>
      <c r="R15" s="24" t="str">
        <f>master!$E$6</f>
        <v>Mental</v>
      </c>
      <c r="S15" s="25" t="str">
        <f>master!$E$7</f>
        <v>Motivation</v>
      </c>
      <c r="U15" t="s">
        <v>189</v>
      </c>
      <c r="V15" s="14" t="str">
        <f>master!$E$3</f>
        <v>General</v>
      </c>
      <c r="W15" s="14" t="str">
        <f>master!$E$4</f>
        <v>Physical</v>
      </c>
      <c r="X15" s="14" t="str">
        <f>master!$E$5</f>
        <v>Activity</v>
      </c>
      <c r="Y15" s="14" t="str">
        <f>master!$E$6</f>
        <v>Mental</v>
      </c>
      <c r="Z15" s="25" t="str">
        <f>master!$E$7</f>
        <v>Motivation</v>
      </c>
      <c r="AA15" t="s">
        <v>189</v>
      </c>
      <c r="AB15" s="14" t="str">
        <f>master!$E$3</f>
        <v>General</v>
      </c>
      <c r="AC15" s="14" t="str">
        <f>master!$E$4</f>
        <v>Physical</v>
      </c>
      <c r="AD15" s="14" t="str">
        <f>master!$E$5</f>
        <v>Activity</v>
      </c>
      <c r="AE15" s="14" t="str">
        <f>master!$E$6</f>
        <v>Mental</v>
      </c>
      <c r="AF15" s="25" t="str">
        <f>master!$E$7</f>
        <v>Motivation</v>
      </c>
      <c r="AH15" s="14" t="str">
        <f>master!$E$3</f>
        <v>General</v>
      </c>
      <c r="AI15" s="14" t="str">
        <f>master!$E$4</f>
        <v>Physical</v>
      </c>
      <c r="AJ15" s="14" t="str">
        <f>master!$E$5</f>
        <v>Activity</v>
      </c>
      <c r="AK15" s="14" t="str">
        <f>master!$E$6</f>
        <v>Mental</v>
      </c>
      <c r="AL15" s="25" t="str">
        <f>master!$E$7</f>
        <v>Motivation</v>
      </c>
      <c r="AN15" s="14" t="str">
        <f>master!$E$3</f>
        <v>General</v>
      </c>
      <c r="AO15" s="14" t="str">
        <f>master!$E$4</f>
        <v>Physical</v>
      </c>
      <c r="AP15" s="14" t="str">
        <f>master!$E$5</f>
        <v>Activity</v>
      </c>
      <c r="AQ15" s="14" t="str">
        <f>master!$E$6</f>
        <v>Mental</v>
      </c>
      <c r="AR15" s="25" t="str">
        <f>master!$E$7</f>
        <v>Motivation</v>
      </c>
      <c r="AT15" s="14" t="str">
        <f>master!$E$3</f>
        <v>General</v>
      </c>
      <c r="AU15" s="14" t="str">
        <f>master!$E$4</f>
        <v>Physical</v>
      </c>
      <c r="AV15" s="14" t="str">
        <f>master!$E$5</f>
        <v>Activity</v>
      </c>
      <c r="AW15" s="14" t="str">
        <f>master!$E$6</f>
        <v>Mental</v>
      </c>
      <c r="AX15" s="25" t="str">
        <f>master!$E$7</f>
        <v>Motivation</v>
      </c>
      <c r="AZ15" s="14" t="str">
        <f>master!$E$3</f>
        <v>General</v>
      </c>
      <c r="BA15" s="14" t="str">
        <f>master!$E$4</f>
        <v>Physical</v>
      </c>
      <c r="BB15" s="14" t="str">
        <f>master!$E$5</f>
        <v>Activity</v>
      </c>
      <c r="BC15" s="14" t="str">
        <f>master!$E$6</f>
        <v>Mental</v>
      </c>
      <c r="BD15" s="25" t="str">
        <f>master!$E$7</f>
        <v>Motivation</v>
      </c>
    </row>
    <row r="16" spans="1:56" x14ac:dyDescent="0.2">
      <c r="A16" s="4" t="s">
        <v>15</v>
      </c>
      <c r="C16" s="66" t="str">
        <f>'2) Referencedata'!I18</f>
        <v/>
      </c>
      <c r="D16" s="67" t="str">
        <f>'2) Referencedata'!L18</f>
        <v/>
      </c>
      <c r="E16" s="67" t="str">
        <f>'2) Referencedata'!O18</f>
        <v/>
      </c>
      <c r="F16" s="67" t="str">
        <f>'2) Referencedata'!R18</f>
        <v/>
      </c>
      <c r="G16" s="68" t="str">
        <f>'2) Referencedata'!U18</f>
        <v/>
      </c>
      <c r="I16" s="26" t="str">
        <f>IFERROR(SQRT($C16),"")</f>
        <v/>
      </c>
      <c r="J16" s="27" t="str">
        <f>IFERROR(SQRT($D16),"")</f>
        <v/>
      </c>
      <c r="K16" s="27" t="str">
        <f>IFERROR(SQRT($E16),"")</f>
        <v/>
      </c>
      <c r="L16" s="27" t="str">
        <f>IFERROR(SQRT($F16),"")</f>
        <v/>
      </c>
      <c r="M16" s="28" t="str">
        <f>IFERROR(SQRT($G16),"")</f>
        <v/>
      </c>
      <c r="O16" s="26" t="str">
        <f>IFERROR(LOG10($C16),"")</f>
        <v/>
      </c>
      <c r="P16" s="27" t="str">
        <f>IFERROR(LOG10($D16),"")</f>
        <v/>
      </c>
      <c r="Q16" s="27" t="str">
        <f>IFERROR(LOG10($E16),"")</f>
        <v/>
      </c>
      <c r="R16" s="27" t="str">
        <f>IFERROR(LOG10($F16),"")</f>
        <v/>
      </c>
      <c r="S16" s="28" t="str">
        <f>IFERROR(LOG10($G16),"")</f>
        <v/>
      </c>
      <c r="U16" s="16">
        <f>normalitet!B$4</f>
        <v>4</v>
      </c>
      <c r="V16">
        <v>0.1419138413097934</v>
      </c>
      <c r="W16">
        <v>0.15132797596824279</v>
      </c>
      <c r="X16">
        <v>0.23176064723371889</v>
      </c>
      <c r="Y16">
        <v>0.2554470303586478</v>
      </c>
      <c r="Z16">
        <v>0.26833687724925781</v>
      </c>
      <c r="AA16" s="10">
        <f>normalitet!B$4</f>
        <v>4</v>
      </c>
      <c r="AB16">
        <v>7.685348136534606E-2</v>
      </c>
      <c r="AC16">
        <v>8.1503703233061151E-2</v>
      </c>
      <c r="AD16">
        <v>0.125268617705835</v>
      </c>
      <c r="AE16">
        <v>0.13908264913380891</v>
      </c>
      <c r="AF16">
        <v>0.16757258899999999</v>
      </c>
      <c r="AH16" cm="1">
        <f t="array" ref="AH16">_xlfn.IFS($B$11=$Z$13,AB16,$B$11=$Z$50,AT16,$B$11=$Z$99,AZ16,$B$11=$Z$139,AN16)</f>
        <v>7.685348136534606E-2</v>
      </c>
      <c r="AI16" cm="1">
        <f t="array" ref="AI16">_xlfn.IFS($B$11=$Z$13,AC16,$B$11=$Z$50,AU16,$B$11=$Z$99,BA16,$B$11=$Z$139,AO16)</f>
        <v>8.1503703233061151E-2</v>
      </c>
      <c r="AJ16" cm="1">
        <f t="array" ref="AJ16">_xlfn.IFS($B$11=$Z$13,AD16,$B$11=$Z$50,AV16,$B$11=$Z$99,BB16,$B$11=$Z$139,AP16)</f>
        <v>0.125268617705835</v>
      </c>
      <c r="AK16" cm="1">
        <f t="array" ref="AK16">_xlfn.IFS($B$11=$Z$13,AE16,$B$11=$Z$50,AW16,$B$11=$Z$99,BC16,$B$11=$Z$139,AQ16)</f>
        <v>0.13908264913380891</v>
      </c>
      <c r="AL16" cm="1">
        <f t="array" ref="AL16">_xlfn.IFS($B$11=$Z$13,AF16,$B$11=$Z$50,AX16,$B$11=$Z$99,BD16,$B$11=$Z$139,AR16)</f>
        <v>0.16757258899999999</v>
      </c>
      <c r="AN16" t="e" cm="1">
        <f t="array" ref="AN16">IF($V$140=$V$142,_xlfn.IFS($X$100=$W$102,AB148,$X$100=$AI$102,AN148,$X$100=$AU$102,AZ148,$X$100=$BG$102,BL148,$X$100=$BS$102,BX148,$X$100=$CE$102,CJ148),_xlfn.IFS($X$100=$W$102,AB188,$X$100=$AI$102,AN188,$X$100=$AU$102,AZ188,$X$100=$BG$102,BL188,$X$100=$BS$102,BX188,$X$100=$CE$102,CJ188))</f>
        <v>#N/A</v>
      </c>
      <c r="AO16" t="e" cm="1">
        <f t="array" ref="AO16">IF($V$140=$V$142,_xlfn.IFS($X$100=$W$102,AC148,$X$100=$AI$102,AO148,$X$100=$AU$102,BA148,$X$100=$BG$102,BM148,$X$100=$BS$102,BY148,$X$100=$CE$102,CK148),_xlfn.IFS($X$100=$W$102,AC188,$X$100=$AI$102,AO188,$X$100=$AU$102,BA188,$X$100=$BG$102,BM188,$X$100=$BS$102,BY188,$X$100=$CE$102,CK188))</f>
        <v>#N/A</v>
      </c>
      <c r="AP16" t="e" cm="1">
        <f t="array" ref="AP16">IF($V$140=$V$142,_xlfn.IFS($X$100=$W$102,AD148,$X$100=$AI$102,AP148,$X$100=$AU$102,BB148,$X$100=$BG$102,BN148,$X$100=$BS$102,BZ148,$X$100=$CE$102,CL148),_xlfn.IFS($X$100=$W$102,AD188,$X$100=$AI$102,AP188,$X$100=$AU$102,BB188,$X$100=$BG$102,BN188,$X$100=$BS$102,BZ188,$X$100=$CE$102,CL188))</f>
        <v>#N/A</v>
      </c>
      <c r="AQ16" t="e" cm="1">
        <f t="array" ref="AQ16">IF($V$140=$V$142,_xlfn.IFS($X$100=$W$102,AE148,$X$100=$AI$102,AQ148,$X$100=$AU$102,BC148,$X$100=$BG$102,BO148,$X$100=$BS$102,CA148,$X$100=$CE$102,CM148),_xlfn.IFS($X$100=$W$102,AE188,$X$100=$AI$102,AQ188,$X$100=$AU$102,BC188,$X$100=$BG$102,BO188,$X$100=$BS$102,CA188,$X$100=$CE$102,CM188))</f>
        <v>#N/A</v>
      </c>
      <c r="AR16" t="e" cm="1">
        <f t="array" ref="AR16">IF($V$140=$V$142,_xlfn.IFS($X$100=$W$102,AF148,$X$100=$AI$102,AR148,$X$100=$AU$102,BD148,$X$100=$BG$102,BP148,$X$100=$BS$102,CB148,$X$100=$CE$102,CN148),_xlfn.IFS($X$100=$W$102,AF188,$X$100=$AI$102,AR188,$X$100=$AU$102,BD188,$X$100=$BG$102,BP188,$X$100=$BS$102,CB188,$X$100=$CE$102,CN188))</f>
        <v>#N/A</v>
      </c>
      <c r="AT16">
        <f>IF($V$51=$Z$51,AN65,AB65)</f>
        <v>7.1964547103780183E-2</v>
      </c>
      <c r="AU16">
        <f t="shared" ref="AU16:AX31" si="1">IF($V$51=$Z$51,AO65,AC65)</f>
        <v>7.6138150277767852E-2</v>
      </c>
      <c r="AV16">
        <f t="shared" si="1"/>
        <v>0.1219754799933702</v>
      </c>
      <c r="AW16">
        <f t="shared" si="1"/>
        <v>0.1312738879866264</v>
      </c>
      <c r="AX16">
        <f t="shared" si="1"/>
        <v>0.1730568214392163</v>
      </c>
      <c r="AZ16" t="e" cm="1">
        <f t="array" ref="AZ16">_xlfn.IFS($X$100=$W$102,AB105,$X$100=$AI$102,AN105,$X$100=$AU$102,AZ105,$X$100=$BG$102,BL105,$X$100=$BS$102,BX105,$X$100=$CE$102,CJ105)</f>
        <v>#N/A</v>
      </c>
      <c r="BA16" t="e" cm="1">
        <f t="array" ref="BA16">_xlfn.IFS($X$100=$W$102,AC105,$X$100=$AI$102,AO105,$X$100=$AU$102,BA105,$X$100=$BG$102,BM105,$X$100=$BS$102,BY105,$X$100=$CE$102,CK105)</f>
        <v>#N/A</v>
      </c>
      <c r="BB16" t="e" cm="1">
        <f t="array" ref="BB16">_xlfn.IFS($X$100=$W$102,AD105,$X$100=$AI$102,AP105,$X$100=$AU$102,BB105,$X$100=$BG$102,BN105,$X$100=$BS$102,BZ105,$X$100=$CE$102,CL105)</f>
        <v>#N/A</v>
      </c>
      <c r="BC16" t="e" cm="1">
        <f t="array" ref="BC16">_xlfn.IFS($X$100=$W$102,AE105,$X$100=$AI$102,AQ105,$X$100=$AU$102,BC105,$X$100=$BG$102,BO105,$X$100=$BS$102,CA105,$X$100=$CE$102,CM105)</f>
        <v>#N/A</v>
      </c>
      <c r="BD16" t="e" cm="1">
        <f t="array" ref="BD16">_xlfn.IFS($X$100=$W$102,AF105,$X$100=$AI$102,AR105,$X$100=$AU$102,BD105,$X$100=$BG$102,BP105,$X$100=$BS$102,CB105,$X$100=$CE$102,CN105)</f>
        <v>#N/A</v>
      </c>
    </row>
    <row r="17" spans="1:56" x14ac:dyDescent="0.2">
      <c r="A17" s="4" t="s">
        <v>17</v>
      </c>
      <c r="C17" s="66">
        <f>IF($B$9="Ja",model!C44,model!C30)</f>
        <v>9.5690080000000002</v>
      </c>
      <c r="D17" s="67">
        <f>IF($B$9="Ja",model!D44,model!D30)</f>
        <v>9.2587109999999999</v>
      </c>
      <c r="E17" s="67">
        <f>IF($B$9="Ja",model!E44,model!E30)</f>
        <v>8.1760719999999996</v>
      </c>
      <c r="F17" s="67">
        <f>IF($B$9="Ja",model!F44,model!F30)</f>
        <v>7.770988</v>
      </c>
      <c r="G17" s="68">
        <f>IF($B$9="Ja",model!G44,model!G30)</f>
        <v>6.8317899999999998</v>
      </c>
      <c r="I17" s="66">
        <f>IF($B$9="Ja",model!I44,model!I30)</f>
        <v>0</v>
      </c>
      <c r="J17" s="67">
        <f>IF($B$9="Ja",model!J44,model!J30)</f>
        <v>0</v>
      </c>
      <c r="K17" s="67">
        <f>IF($B$9="Ja",model!K44,model!K30)</f>
        <v>0</v>
      </c>
      <c r="L17" s="67">
        <f>IF($B$9="Ja",model!L44,model!L30)</f>
        <v>0</v>
      </c>
      <c r="M17" s="68">
        <f>IF($B$9="Ja",model!M44,model!M30)</f>
        <v>0</v>
      </c>
      <c r="N17" s="55"/>
      <c r="O17" s="9" cm="1">
        <f t="array" ref="O17">_xlfn.IFS($B$11=0,O30,$B$11=1,O92,$B$11=2,O44,$B$11=3,O71)</f>
        <v>0.93227130000000002</v>
      </c>
      <c r="P17" s="9" cm="1">
        <f t="array" ref="P17">_xlfn.IFS($B$11=0,P30,$B$11=1,P92,$B$11=2,P44,$B$11=3,P71)</f>
        <v>0.91821149999999996</v>
      </c>
      <c r="Q17" s="9" cm="1">
        <f t="array" ref="Q17">_xlfn.IFS($B$11=0,Q30,$B$11=1,Q92,$B$11=2,Q44,$B$11=3,Q71)</f>
        <v>0.86071589999999998</v>
      </c>
      <c r="R17" s="9" cm="1">
        <f t="array" ref="R17">_xlfn.IFS($B$11=0,R30,$B$11=1,R92,$B$11=2,R44,$B$11=3,R71)</f>
        <v>0.84297069999999996</v>
      </c>
      <c r="S17" s="9" cm="1">
        <f t="array" ref="S17">_xlfn.IFS($B$11=0,S30,$B$11=1,S92,$B$11=2,S44,$B$11=3,S71)</f>
        <v>0.79914830000000003</v>
      </c>
      <c r="T17" s="29"/>
      <c r="U17" s="86">
        <f>U16+1</f>
        <v>5</v>
      </c>
      <c r="V17">
        <v>0.26290492619573352</v>
      </c>
      <c r="W17">
        <v>0.27558828698949078</v>
      </c>
      <c r="X17">
        <v>0.39655978340898668</v>
      </c>
      <c r="Y17">
        <v>0.42134393469189618</v>
      </c>
      <c r="Z17">
        <v>0.4843870555120271</v>
      </c>
      <c r="AA17" s="10">
        <f>AA16+0.5</f>
        <v>4.5</v>
      </c>
      <c r="AB17">
        <v>7.3702508204244899E-2</v>
      </c>
      <c r="AC17">
        <v>7.752445972289447E-2</v>
      </c>
      <c r="AD17">
        <v>0.1144831134060029</v>
      </c>
      <c r="AE17">
        <v>0.1230260370877186</v>
      </c>
      <c r="AF17">
        <v>0.14681244299999999</v>
      </c>
      <c r="AH17" cm="1">
        <f t="array" ref="AH17">_xlfn.IFS($B$11=$Z$13,AB17,$B$11=$Z$50,AT17,$B$11=$Z$99,AZ17,$B$11=$Z$139,AN17)</f>
        <v>7.3702508204244899E-2</v>
      </c>
      <c r="AI17" cm="1">
        <f t="array" ref="AI17">_xlfn.IFS($B$11=$Z$13,AC17,$B$11=$Z$50,AU17,$B$11=$Z$99,BA17,$B$11=$Z$139,AO17)</f>
        <v>7.752445972289447E-2</v>
      </c>
      <c r="AJ17" cm="1">
        <f t="array" ref="AJ17">_xlfn.IFS($B$11=$Z$13,AD17,$B$11=$Z$50,AV17,$B$11=$Z$99,BB17,$B$11=$Z$139,AP17)</f>
        <v>0.1144831134060029</v>
      </c>
      <c r="AK17" cm="1">
        <f t="array" ref="AK17">_xlfn.IFS($B$11=$Z$13,AE17,$B$11=$Z$50,AW17,$B$11=$Z$99,BC17,$B$11=$Z$139,AQ17)</f>
        <v>0.1230260370877186</v>
      </c>
      <c r="AL17" cm="1">
        <f t="array" ref="AL17">_xlfn.IFS($B$11=$Z$13,AF17,$B$11=$Z$50,AX17,$B$11=$Z$99,BD17,$B$11=$Z$139,AR17)</f>
        <v>0.14681244299999999</v>
      </c>
      <c r="AN17" t="e" cm="1">
        <f t="array" ref="AN17">IF($V$140=$V$142,_xlfn.IFS($X$100=$W$102,AB149,$X$100=$AI$102,AN149,$X$100=$AU$102,AZ149,$X$100=$BG$102,BL149,$X$100=$BS$102,BX149,$X$100=$CE$102,CJ149),_xlfn.IFS($X$100=$W$102,AB189,$X$100=$AI$102,AN189,$X$100=$AU$102,AZ189,$X$100=$BG$102,BL189,$X$100=$BS$102,BX189,$X$100=$CE$102,CJ189))</f>
        <v>#N/A</v>
      </c>
      <c r="AO17" t="e" cm="1">
        <f t="array" ref="AO17">IF($V$140=$V$142,_xlfn.IFS($X$100=$W$102,AC149,$X$100=$AI$102,AO149,$X$100=$AU$102,BA149,$X$100=$BG$102,BM149,$X$100=$BS$102,BY149,$X$100=$CE$102,CK149),_xlfn.IFS($X$100=$W$102,AC189,$X$100=$AI$102,AO189,$X$100=$AU$102,BA189,$X$100=$BG$102,BM189,$X$100=$BS$102,BY189,$X$100=$CE$102,CK189))</f>
        <v>#N/A</v>
      </c>
      <c r="AP17" t="e" cm="1">
        <f t="array" ref="AP17">IF($V$140=$V$142,_xlfn.IFS($X$100=$W$102,AD149,$X$100=$AI$102,AP149,$X$100=$AU$102,BB149,$X$100=$BG$102,BN149,$X$100=$BS$102,BZ149,$X$100=$CE$102,CL149),_xlfn.IFS($X$100=$W$102,AD189,$X$100=$AI$102,AP189,$X$100=$AU$102,BB189,$X$100=$BG$102,BN189,$X$100=$BS$102,BZ189,$X$100=$CE$102,CL189))</f>
        <v>#N/A</v>
      </c>
      <c r="AQ17" t="e" cm="1">
        <f t="array" ref="AQ17">IF($V$140=$V$142,_xlfn.IFS($X$100=$W$102,AE149,$X$100=$AI$102,AQ149,$X$100=$AU$102,BC149,$X$100=$BG$102,BO149,$X$100=$BS$102,CA149,$X$100=$CE$102,CM149),_xlfn.IFS($X$100=$W$102,AE189,$X$100=$AI$102,AQ189,$X$100=$AU$102,BC189,$X$100=$BG$102,BO189,$X$100=$BS$102,CA189,$X$100=$CE$102,CM189))</f>
        <v>#N/A</v>
      </c>
      <c r="AR17" t="e" cm="1">
        <f t="array" ref="AR17">IF($V$140=$V$142,_xlfn.IFS($X$100=$W$102,AF149,$X$100=$AI$102,AR149,$X$100=$AU$102,BD149,$X$100=$BG$102,BP149,$X$100=$BS$102,CB149,$X$100=$CE$102,CN149),_xlfn.IFS($X$100=$W$102,AF189,$X$100=$AI$102,AR189,$X$100=$AU$102,BD189,$X$100=$BG$102,BP189,$X$100=$BS$102,CB189,$X$100=$CE$102,CN189))</f>
        <v>#N/A</v>
      </c>
      <c r="AT17">
        <f t="shared" ref="AT17:AT48" si="2">IF($V$51=$Z$51,AN66,AB66)</f>
        <v>6.7891958267132124E-2</v>
      </c>
      <c r="AU17">
        <f t="shared" si="1"/>
        <v>7.2558439701404423E-2</v>
      </c>
      <c r="AV17">
        <f t="shared" si="1"/>
        <v>0.11568573291071391</v>
      </c>
      <c r="AW17">
        <f t="shared" si="1"/>
        <v>0.1239586966061583</v>
      </c>
      <c r="AX17">
        <f t="shared" si="1"/>
        <v>0.1577650746829134</v>
      </c>
      <c r="AZ17" t="e" cm="1">
        <f t="array" ref="AZ17">_xlfn.IFS($X$100=$W$102,AB106,$X$100=$AI$102,AN106,$X$100=$AU$102,AZ106,$X$100=$BG$102,BL106,$X$100=$BS$102,BX106,$X$100=$CE$102,CJ106)</f>
        <v>#N/A</v>
      </c>
      <c r="BA17" t="e" cm="1">
        <f t="array" ref="BA17">_xlfn.IFS($X$100=$W$102,AC106,$X$100=$AI$102,AO106,$X$100=$AU$102,BA106,$X$100=$BG$102,BM106,$X$100=$BS$102,BY106,$X$100=$CE$102,CK106)</f>
        <v>#N/A</v>
      </c>
      <c r="BB17" t="e" cm="1">
        <f t="array" ref="BB17">_xlfn.IFS($X$100=$W$102,AD106,$X$100=$AI$102,AP106,$X$100=$AU$102,BB106,$X$100=$BG$102,BN106,$X$100=$BS$102,BZ106,$X$100=$CE$102,CL106)</f>
        <v>#N/A</v>
      </c>
      <c r="BC17" t="e" cm="1">
        <f t="array" ref="BC17">_xlfn.IFS($X$100=$W$102,AE106,$X$100=$AI$102,AQ106,$X$100=$AU$102,BC106,$X$100=$BG$102,BO106,$X$100=$BS$102,CA106,$X$100=$CE$102,CM106)</f>
        <v>#N/A</v>
      </c>
      <c r="BD17" t="e" cm="1">
        <f t="array" ref="BD17">_xlfn.IFS($X$100=$W$102,AF106,$X$100=$AI$102,AR106,$X$100=$AU$102,BD106,$X$100=$BG$102,BP106,$X$100=$BS$102,CB106,$X$100=$CE$102,CN106)</f>
        <v>#N/A</v>
      </c>
    </row>
    <row r="18" spans="1:56" x14ac:dyDescent="0.2">
      <c r="A18" s="4" t="s">
        <v>23</v>
      </c>
      <c r="C18" s="26">
        <f>IF($B$9="Ja",model!C49,model!C31)</f>
        <v>4.4467840000000001</v>
      </c>
      <c r="D18" s="27">
        <f>IF($B$9="Ja",model!D49,model!D31)</f>
        <v>4.3641569999999996</v>
      </c>
      <c r="E18" s="27">
        <f>IF($B$9="Ja",model!E49,model!E31)</f>
        <v>4.2453479999999999</v>
      </c>
      <c r="F18" s="27">
        <f>IF($B$9="Ja",model!F49,model!F31)</f>
        <v>3.8183739999999999</v>
      </c>
      <c r="G18" s="28">
        <f>IF($B$9="Ja",model!G49,model!G31)</f>
        <v>3.0282710000000002</v>
      </c>
      <c r="I18" s="32">
        <f>IF($B$9="Ja",model!I49,model!I31)</f>
        <v>0</v>
      </c>
      <c r="J18" s="34">
        <f>IF($B$9="Ja",model!J49,model!J31)</f>
        <v>0</v>
      </c>
      <c r="K18" s="34">
        <f>IF($B$9="Ja",model!K49,model!K31)</f>
        <v>0</v>
      </c>
      <c r="L18" s="34">
        <f>IF($B$9="Ja",model!L49,model!L31)</f>
        <v>0</v>
      </c>
      <c r="M18" s="33">
        <f>IF($B$9="Ja",model!M49,model!M31)</f>
        <v>0</v>
      </c>
      <c r="O18" s="79" cm="1">
        <f t="array" ref="O18">_xlfn.IFS($B$11=0,O31,$B$11=1,O107,$B$11=2,O49,$B$11=3,O80)</f>
        <v>0.20927519999999999</v>
      </c>
      <c r="P18" s="80" cm="1">
        <f t="array" ref="P18">_xlfn.IFS($B$11=0,P31,$B$11=1,P107,$B$11=2,P49,$B$11=3,P80)</f>
        <v>0.20721980000000001</v>
      </c>
      <c r="Q18" s="80" cm="1">
        <f t="array" ref="Q18">_xlfn.IFS($B$11=0,Q31,$B$11=1,Q107,$B$11=2,Q49,$B$11=3,Q80)</f>
        <v>0.20768110000000001</v>
      </c>
      <c r="R18" s="80" cm="1">
        <f t="array" ref="R18">_xlfn.IFS($B$11=0,R31,$B$11=1,R107,$B$11=2,R49,$B$11=3,R80)</f>
        <v>0.20012930000000001</v>
      </c>
      <c r="S18" s="80" cm="1">
        <f t="array" ref="S18">_xlfn.IFS($B$11=0,S31,$B$11=1,S107,$B$11=2,S49,$B$11=3,S80)</f>
        <v>0.16950999999999999</v>
      </c>
      <c r="T18" s="29"/>
      <c r="U18" s="86">
        <f t="shared" ref="U18:U48" si="3">U17+1</f>
        <v>6</v>
      </c>
      <c r="V18">
        <v>0.35312193572299377</v>
      </c>
      <c r="W18">
        <v>0.36976665479395532</v>
      </c>
      <c r="X18">
        <v>0.51181572171797529</v>
      </c>
      <c r="Y18">
        <v>0.5284356464596377</v>
      </c>
      <c r="Z18">
        <v>0.60446355203062607</v>
      </c>
      <c r="AA18" s="10">
        <f t="shared" ref="AA18:AA48" si="4">AA17+0.5</f>
        <v>5</v>
      </c>
      <c r="AB18">
        <v>6.3116271438539567E-2</v>
      </c>
      <c r="AC18">
        <v>6.5776317820023092E-2</v>
      </c>
      <c r="AD18">
        <v>9.2937012124111026E-2</v>
      </c>
      <c r="AE18">
        <v>9.4167514756822293E-2</v>
      </c>
      <c r="AF18">
        <v>0.106573764</v>
      </c>
      <c r="AH18" cm="1">
        <f t="array" ref="AH18">_xlfn.IFS($B$11=$Z$13,AB18,$B$11=$Z$50,AT18,$B$11=$Z$99,AZ18,$B$11=$Z$139,AN18)</f>
        <v>6.3116271438539567E-2</v>
      </c>
      <c r="AI18" cm="1">
        <f t="array" ref="AI18">_xlfn.IFS($B$11=$Z$13,AC18,$B$11=$Z$50,AU18,$B$11=$Z$99,BA18,$B$11=$Z$139,AO18)</f>
        <v>6.5776317820023092E-2</v>
      </c>
      <c r="AJ18" cm="1">
        <f t="array" ref="AJ18">_xlfn.IFS($B$11=$Z$13,AD18,$B$11=$Z$50,AV18,$B$11=$Z$99,BB18,$B$11=$Z$139,AP18)</f>
        <v>9.2937012124111026E-2</v>
      </c>
      <c r="AK18" cm="1">
        <f t="array" ref="AK18">_xlfn.IFS($B$11=$Z$13,AE18,$B$11=$Z$50,AW18,$B$11=$Z$99,BC18,$B$11=$Z$139,AQ18)</f>
        <v>9.4167514756822293E-2</v>
      </c>
      <c r="AL18" cm="1">
        <f t="array" ref="AL18">_xlfn.IFS($B$11=$Z$13,AF18,$B$11=$Z$50,AX18,$B$11=$Z$99,BD18,$B$11=$Z$139,AR18)</f>
        <v>0.106573764</v>
      </c>
      <c r="AN18" t="e" cm="1">
        <f t="array" ref="AN18">IF($V$140=$V$142,_xlfn.IFS($X$100=$W$102,AB150,$X$100=$AI$102,AN150,$X$100=$AU$102,AZ150,$X$100=$BG$102,BL150,$X$100=$BS$102,BX150,$X$100=$CE$102,CJ150),_xlfn.IFS($X$100=$W$102,AB190,$X$100=$AI$102,AN190,$X$100=$AU$102,AZ190,$X$100=$BG$102,BL190,$X$100=$BS$102,BX190,$X$100=$CE$102,CJ190))</f>
        <v>#N/A</v>
      </c>
      <c r="AO18" t="e" cm="1">
        <f t="array" ref="AO18">IF($V$140=$V$142,_xlfn.IFS($X$100=$W$102,AC150,$X$100=$AI$102,AO150,$X$100=$AU$102,BA150,$X$100=$BG$102,BM150,$X$100=$BS$102,BY150,$X$100=$CE$102,CK150),_xlfn.IFS($X$100=$W$102,AC190,$X$100=$AI$102,AO190,$X$100=$AU$102,BA190,$X$100=$BG$102,BM190,$X$100=$BS$102,BY190,$X$100=$CE$102,CK190))</f>
        <v>#N/A</v>
      </c>
      <c r="AP18" t="e" cm="1">
        <f t="array" ref="AP18">IF($V$140=$V$142,_xlfn.IFS($X$100=$W$102,AD150,$X$100=$AI$102,AP150,$X$100=$AU$102,BB150,$X$100=$BG$102,BN150,$X$100=$BS$102,BZ150,$X$100=$CE$102,CL150),_xlfn.IFS($X$100=$W$102,AD190,$X$100=$AI$102,AP190,$X$100=$AU$102,BB190,$X$100=$BG$102,BN190,$X$100=$BS$102,BZ190,$X$100=$CE$102,CL190))</f>
        <v>#N/A</v>
      </c>
      <c r="AQ18" t="e" cm="1">
        <f t="array" ref="AQ18">IF($V$140=$V$142,_xlfn.IFS($X$100=$W$102,AE150,$X$100=$AI$102,AQ150,$X$100=$AU$102,BC150,$X$100=$BG$102,BO150,$X$100=$BS$102,CA150,$X$100=$CE$102,CM150),_xlfn.IFS($X$100=$W$102,AE190,$X$100=$AI$102,AQ190,$X$100=$AU$102,BC190,$X$100=$BG$102,BO190,$X$100=$BS$102,CA190,$X$100=$CE$102,CM190))</f>
        <v>#N/A</v>
      </c>
      <c r="AR18" t="e" cm="1">
        <f t="array" ref="AR18">IF($V$140=$V$142,_xlfn.IFS($X$100=$W$102,AF150,$X$100=$AI$102,AR150,$X$100=$AU$102,BD150,$X$100=$BG$102,BP150,$X$100=$BS$102,CB150,$X$100=$CE$102,CN150),_xlfn.IFS($X$100=$W$102,AF190,$X$100=$AI$102,AR190,$X$100=$AU$102,BD190,$X$100=$BG$102,BP190,$X$100=$BS$102,CB190,$X$100=$CE$102,CN190))</f>
        <v>#N/A</v>
      </c>
      <c r="AT18">
        <f t="shared" si="2"/>
        <v>6.1281109623770917E-2</v>
      </c>
      <c r="AU18">
        <f t="shared" si="1"/>
        <v>6.4821105852034475E-2</v>
      </c>
      <c r="AV18">
        <f t="shared" si="1"/>
        <v>9.7787325170539813E-2</v>
      </c>
      <c r="AW18">
        <f t="shared" si="1"/>
        <v>9.9832090122862899E-2</v>
      </c>
      <c r="AX18">
        <f t="shared" si="1"/>
        <v>0.11608205165082849</v>
      </c>
      <c r="AZ18" t="e" cm="1">
        <f t="array" ref="AZ18">_xlfn.IFS($X$100=$W$102,AB107,$X$100=$AI$102,AN107,$X$100=$AU$102,AZ107,$X$100=$BG$102,BL107,$X$100=$BS$102,BX107,$X$100=$CE$102,CJ107)</f>
        <v>#N/A</v>
      </c>
      <c r="BA18" t="e" cm="1">
        <f t="array" ref="BA18">_xlfn.IFS($X$100=$W$102,AC107,$X$100=$AI$102,AO107,$X$100=$AU$102,BA107,$X$100=$BG$102,BM107,$X$100=$BS$102,BY107,$X$100=$CE$102,CK107)</f>
        <v>#N/A</v>
      </c>
      <c r="BB18" t="e" cm="1">
        <f t="array" ref="BB18">_xlfn.IFS($X$100=$W$102,AD107,$X$100=$AI$102,AP107,$X$100=$AU$102,BB107,$X$100=$BG$102,BN107,$X$100=$BS$102,BZ107,$X$100=$CE$102,CL107)</f>
        <v>#N/A</v>
      </c>
      <c r="BC18" t="e" cm="1">
        <f t="array" ref="BC18">_xlfn.IFS($X$100=$W$102,AE107,$X$100=$AI$102,AQ107,$X$100=$AU$102,BC107,$X$100=$BG$102,BO107,$X$100=$BS$102,CA107,$X$100=$CE$102,CM107)</f>
        <v>#N/A</v>
      </c>
      <c r="BD18" t="e" cm="1">
        <f t="array" ref="BD18">_xlfn.IFS($X$100=$W$102,AF107,$X$100=$AI$102,AR107,$X$100=$AU$102,BD107,$X$100=$BG$102,BP107,$X$100=$BS$102,CB107,$X$100=$CE$102,CN107)</f>
        <v>#N/A</v>
      </c>
    </row>
    <row r="19" spans="1:56" x14ac:dyDescent="0.2">
      <c r="A19" s="4" t="s">
        <v>18</v>
      </c>
      <c r="C19" s="26" t="str">
        <f>IFERROR(_xlfn.NORM.DIST(C16,C17,C18,TRUE),"")</f>
        <v/>
      </c>
      <c r="D19" s="27" t="str">
        <f t="shared" ref="D19:G19" si="5">IFERROR(_xlfn.NORM.DIST(D16,D17,D18,TRUE),"")</f>
        <v/>
      </c>
      <c r="E19" s="27" t="str">
        <f t="shared" si="5"/>
        <v/>
      </c>
      <c r="F19" s="27" t="str">
        <f t="shared" si="5"/>
        <v/>
      </c>
      <c r="G19" s="28" t="str">
        <f t="shared" si="5"/>
        <v/>
      </c>
      <c r="I19" s="26" t="str">
        <f>IFERROR(_xlfn.NORM.DIST(I16,I17,I18,TRUE)*100,"")</f>
        <v/>
      </c>
      <c r="J19" s="27" t="str">
        <f>IFERROR(_xlfn.NORM.DIST(J16,J17,J18,TRUE)*100,"")</f>
        <v/>
      </c>
      <c r="K19" s="27" t="str">
        <f>IFERROR(_xlfn.NORM.DIST(K16,K17,K18,TRUE)*100,"")</f>
        <v/>
      </c>
      <c r="L19" s="27" t="str">
        <f>IFERROR(_xlfn.NORM.DIST(L16,L17,L18,TRUE)*100,"")</f>
        <v/>
      </c>
      <c r="M19" s="28" t="str">
        <f>IFERROR(_xlfn.NORM.DIST(M16,M17,M18,TRUE)*100,"")</f>
        <v/>
      </c>
      <c r="O19" s="26" t="str">
        <f>IFERROR(_xlfn.NORM.DIST(O16,O17,O18,TRUE)*100,"")</f>
        <v/>
      </c>
      <c r="P19" s="27" t="str">
        <f>IFERROR(_xlfn.NORM.DIST(P16,P17,P18,TRUE)*100,"")</f>
        <v/>
      </c>
      <c r="Q19" s="27" t="str">
        <f>IFERROR(_xlfn.NORM.DIST(Q16,Q17,Q18,TRUE)*100,"")</f>
        <v/>
      </c>
      <c r="R19" s="27" t="str">
        <f>IFERROR(_xlfn.NORM.DIST(R16,R17,R18,TRUE)*100,"")</f>
        <v/>
      </c>
      <c r="S19" s="28" t="str">
        <f>IFERROR(_xlfn.NORM.DIST(S16,S17,S18,TRUE)*100,"")</f>
        <v/>
      </c>
      <c r="U19" s="86">
        <f t="shared" si="3"/>
        <v>7</v>
      </c>
      <c r="V19">
        <v>0.42837830449064301</v>
      </c>
      <c r="W19">
        <v>0.45038020850820037</v>
      </c>
      <c r="X19">
        <v>0.59330853557842478</v>
      </c>
      <c r="Y19">
        <v>0.60715960510695033</v>
      </c>
      <c r="Z19">
        <v>0.69996504464472531</v>
      </c>
      <c r="AA19" s="10">
        <f t="shared" si="4"/>
        <v>5.5</v>
      </c>
      <c r="AB19">
        <v>5.2475174696854178E-2</v>
      </c>
      <c r="AC19">
        <v>5.4139582272809621E-2</v>
      </c>
      <c r="AD19">
        <v>7.222733596509881E-2</v>
      </c>
      <c r="AE19">
        <v>6.696493512374968E-2</v>
      </c>
      <c r="AF19">
        <v>7.7211168999999996E-2</v>
      </c>
      <c r="AH19" cm="1">
        <f t="array" ref="AH19">_xlfn.IFS($B$11=$Z$13,AB19,$B$11=$Z$50,AT19,$B$11=$Z$99,AZ19,$B$11=$Z$139,AN19)</f>
        <v>5.2475174696854178E-2</v>
      </c>
      <c r="AI19" cm="1">
        <f t="array" ref="AI19">_xlfn.IFS($B$11=$Z$13,AC19,$B$11=$Z$50,AU19,$B$11=$Z$99,BA19,$B$11=$Z$139,AO19)</f>
        <v>5.4139582272809621E-2</v>
      </c>
      <c r="AJ19" cm="1">
        <f t="array" ref="AJ19">_xlfn.IFS($B$11=$Z$13,AD19,$B$11=$Z$50,AV19,$B$11=$Z$99,BB19,$B$11=$Z$139,AP19)</f>
        <v>7.222733596509881E-2</v>
      </c>
      <c r="AK19" cm="1">
        <f t="array" ref="AK19">_xlfn.IFS($B$11=$Z$13,AE19,$B$11=$Z$50,AW19,$B$11=$Z$99,BC19,$B$11=$Z$139,AQ19)</f>
        <v>6.696493512374968E-2</v>
      </c>
      <c r="AL19" cm="1">
        <f t="array" ref="AL19">_xlfn.IFS($B$11=$Z$13,AF19,$B$11=$Z$50,AX19,$B$11=$Z$99,BD19,$B$11=$Z$139,AR19)</f>
        <v>7.7211168999999996E-2</v>
      </c>
      <c r="AN19" t="e" cm="1">
        <f t="array" ref="AN19">IF($V$140=$V$142,_xlfn.IFS($X$100=$W$102,AB151,$X$100=$AI$102,AN151,$X$100=$AU$102,AZ151,$X$100=$BG$102,BL151,$X$100=$BS$102,BX151,$X$100=$CE$102,CJ151),_xlfn.IFS($X$100=$W$102,AB191,$X$100=$AI$102,AN191,$X$100=$AU$102,AZ191,$X$100=$BG$102,BL191,$X$100=$BS$102,BX191,$X$100=$CE$102,CJ191))</f>
        <v>#N/A</v>
      </c>
      <c r="AO19" t="e" cm="1">
        <f t="array" ref="AO19">IF($V$140=$V$142,_xlfn.IFS($X$100=$W$102,AC151,$X$100=$AI$102,AO151,$X$100=$AU$102,BA151,$X$100=$BG$102,BM151,$X$100=$BS$102,BY151,$X$100=$CE$102,CK151),_xlfn.IFS($X$100=$W$102,AC191,$X$100=$AI$102,AO191,$X$100=$AU$102,BA191,$X$100=$BG$102,BM191,$X$100=$BS$102,BY191,$X$100=$CE$102,CK191))</f>
        <v>#N/A</v>
      </c>
      <c r="AP19" t="e" cm="1">
        <f t="array" ref="AP19">IF($V$140=$V$142,_xlfn.IFS($X$100=$W$102,AD151,$X$100=$AI$102,AP151,$X$100=$AU$102,BB151,$X$100=$BG$102,BN151,$X$100=$BS$102,BZ151,$X$100=$CE$102,CL151),_xlfn.IFS($X$100=$W$102,AD191,$X$100=$AI$102,AP191,$X$100=$AU$102,BB191,$X$100=$BG$102,BN191,$X$100=$BS$102,BZ191,$X$100=$CE$102,CL191))</f>
        <v>#N/A</v>
      </c>
      <c r="AQ19" t="e" cm="1">
        <f t="array" ref="AQ19">IF($V$140=$V$142,_xlfn.IFS($X$100=$W$102,AE151,$X$100=$AI$102,AQ151,$X$100=$AU$102,BC151,$X$100=$BG$102,BO151,$X$100=$BS$102,CA151,$X$100=$CE$102,CM151),_xlfn.IFS($X$100=$W$102,AE191,$X$100=$AI$102,AQ191,$X$100=$AU$102,BC191,$X$100=$BG$102,BO191,$X$100=$BS$102,CA191,$X$100=$CE$102,CM191))</f>
        <v>#N/A</v>
      </c>
      <c r="AR19" t="e" cm="1">
        <f t="array" ref="AR19">IF($V$140=$V$142,_xlfn.IFS($X$100=$W$102,AF151,$X$100=$AI$102,AR151,$X$100=$AU$102,BD151,$X$100=$BG$102,BP151,$X$100=$BS$102,CB151,$X$100=$CE$102,CN151),_xlfn.IFS($X$100=$W$102,AF191,$X$100=$AI$102,AR191,$X$100=$AU$102,BD191,$X$100=$BG$102,BP191,$X$100=$BS$102,CB191,$X$100=$CE$102,CN191))</f>
        <v>#N/A</v>
      </c>
      <c r="AT19">
        <f t="shared" si="2"/>
        <v>5.2784644913405121E-2</v>
      </c>
      <c r="AU19">
        <f t="shared" si="1"/>
        <v>5.5534028213156603E-2</v>
      </c>
      <c r="AV19">
        <f t="shared" si="1"/>
        <v>7.7786543272679531E-2</v>
      </c>
      <c r="AW19">
        <f t="shared" si="1"/>
        <v>7.485368228313391E-2</v>
      </c>
      <c r="AX19">
        <f t="shared" si="1"/>
        <v>8.4683866126305782E-2</v>
      </c>
      <c r="AZ19" t="e" cm="1">
        <f t="array" ref="AZ19">_xlfn.IFS($X$100=$W$102,AB108,$X$100=$AI$102,AN108,$X$100=$AU$102,AZ108,$X$100=$BG$102,BL108,$X$100=$BS$102,BX108,$X$100=$CE$102,CJ108)</f>
        <v>#N/A</v>
      </c>
      <c r="BA19" t="e" cm="1">
        <f t="array" ref="BA19">_xlfn.IFS($X$100=$W$102,AC108,$X$100=$AI$102,AO108,$X$100=$AU$102,BA108,$X$100=$BG$102,BM108,$X$100=$BS$102,BY108,$X$100=$CE$102,CK108)</f>
        <v>#N/A</v>
      </c>
      <c r="BB19" t="e" cm="1">
        <f t="array" ref="BB19">_xlfn.IFS($X$100=$W$102,AD108,$X$100=$AI$102,AP108,$X$100=$AU$102,BB108,$X$100=$BG$102,BN108,$X$100=$BS$102,BZ108,$X$100=$CE$102,CL108)</f>
        <v>#N/A</v>
      </c>
      <c r="BC19" t="e" cm="1">
        <f t="array" ref="BC19">_xlfn.IFS($X$100=$W$102,AE108,$X$100=$AI$102,AQ108,$X$100=$AU$102,BC108,$X$100=$BG$102,BO108,$X$100=$BS$102,CA108,$X$100=$CE$102,CM108)</f>
        <v>#N/A</v>
      </c>
      <c r="BD19" t="e" cm="1">
        <f t="array" ref="BD19">_xlfn.IFS($X$100=$W$102,AF108,$X$100=$AI$102,AR108,$X$100=$AU$102,BD108,$X$100=$BG$102,BP108,$X$100=$BS$102,CB108,$X$100=$CE$102,CN108)</f>
        <v>#N/A</v>
      </c>
    </row>
    <row r="20" spans="1:56" x14ac:dyDescent="0.2">
      <c r="A20" s="4" t="s">
        <v>22</v>
      </c>
      <c r="C20" s="66" t="str">
        <f>IFERROR(C16-C17,"")</f>
        <v/>
      </c>
      <c r="D20" s="67" t="str">
        <f>IFERROR(D16-D17,"")</f>
        <v/>
      </c>
      <c r="E20" s="67" t="str">
        <f>IFERROR(E16-E17,"")</f>
        <v/>
      </c>
      <c r="F20" s="67" t="str">
        <f>IFERROR(F16-F17,"")</f>
        <v/>
      </c>
      <c r="G20" s="68" t="str">
        <f>IFERROR(G16-G17,"")</f>
        <v/>
      </c>
      <c r="H20" s="8"/>
      <c r="I20" s="26" t="str">
        <f>IFERROR(I16-I17,"")</f>
        <v/>
      </c>
      <c r="J20" s="27" t="str">
        <f>IFERROR(J16-J17,"")</f>
        <v/>
      </c>
      <c r="K20" s="27" t="str">
        <f>IFERROR(K16-K17,"")</f>
        <v/>
      </c>
      <c r="L20" s="27" t="str">
        <f>IFERROR(L16-L17,"")</f>
        <v/>
      </c>
      <c r="M20" s="28" t="str">
        <f>IFERROR(M16-M17,"")</f>
        <v/>
      </c>
      <c r="O20" s="26" t="str">
        <f>IFERROR(O16-O17,"")</f>
        <v/>
      </c>
      <c r="P20" s="27" t="str">
        <f>IFERROR(P16-P17,"")</f>
        <v/>
      </c>
      <c r="Q20" s="27" t="str">
        <f>IFERROR(Q16-Q17,"")</f>
        <v/>
      </c>
      <c r="R20" s="27" t="str">
        <f>IFERROR(R16-R17,"")</f>
        <v/>
      </c>
      <c r="S20" s="28" t="str">
        <f>IFERROR(S16-S17,"")</f>
        <v/>
      </c>
      <c r="U20" s="86">
        <f t="shared" si="3"/>
        <v>8</v>
      </c>
      <c r="V20">
        <v>0.50132207998141587</v>
      </c>
      <c r="W20">
        <v>0.53151371742811682</v>
      </c>
      <c r="X20">
        <v>0.6631819190420315</v>
      </c>
      <c r="Y20">
        <v>0.68569468103959641</v>
      </c>
      <c r="Z20">
        <v>0.79261090554355951</v>
      </c>
      <c r="AA20" s="10">
        <f t="shared" si="4"/>
        <v>6</v>
      </c>
      <c r="AB20">
        <v>4.5451216156097908E-2</v>
      </c>
      <c r="AC20">
        <v>4.7261674187699332E-2</v>
      </c>
      <c r="AD20">
        <v>5.6987338924830808E-2</v>
      </c>
      <c r="AE20">
        <v>5.0209402766672913E-2</v>
      </c>
      <c r="AF20">
        <v>6.2083861999999997E-2</v>
      </c>
      <c r="AH20" cm="1">
        <f t="array" ref="AH20">_xlfn.IFS($B$11=$Z$13,AB20,$B$11=$Z$50,AT20,$B$11=$Z$99,AZ20,$B$11=$Z$139,AN20)</f>
        <v>4.5451216156097908E-2</v>
      </c>
      <c r="AI20" cm="1">
        <f t="array" ref="AI20">_xlfn.IFS($B$11=$Z$13,AC20,$B$11=$Z$50,AU20,$B$11=$Z$99,BA20,$B$11=$Z$139,AO20)</f>
        <v>4.7261674187699332E-2</v>
      </c>
      <c r="AJ20" cm="1">
        <f t="array" ref="AJ20">_xlfn.IFS($B$11=$Z$13,AD20,$B$11=$Z$50,AV20,$B$11=$Z$99,BB20,$B$11=$Z$139,AP20)</f>
        <v>5.6987338924830808E-2</v>
      </c>
      <c r="AK20" cm="1">
        <f t="array" ref="AK20">_xlfn.IFS($B$11=$Z$13,AE20,$B$11=$Z$50,AW20,$B$11=$Z$99,BC20,$B$11=$Z$139,AQ20)</f>
        <v>5.0209402766672913E-2</v>
      </c>
      <c r="AL20" cm="1">
        <f t="array" ref="AL20">_xlfn.IFS($B$11=$Z$13,AF20,$B$11=$Z$50,AX20,$B$11=$Z$99,BD20,$B$11=$Z$139,AR20)</f>
        <v>6.2083861999999997E-2</v>
      </c>
      <c r="AN20" t="e" cm="1">
        <f t="array" ref="AN20">IF($V$140=$V$142,_xlfn.IFS($X$100=$W$102,AB152,$X$100=$AI$102,AN152,$X$100=$AU$102,AZ152,$X$100=$BG$102,BL152,$X$100=$BS$102,BX152,$X$100=$CE$102,CJ152),_xlfn.IFS($X$100=$W$102,AB192,$X$100=$AI$102,AN192,$X$100=$AU$102,AZ192,$X$100=$BG$102,BL192,$X$100=$BS$102,BX192,$X$100=$CE$102,CJ192))</f>
        <v>#N/A</v>
      </c>
      <c r="AO20" t="e" cm="1">
        <f t="array" ref="AO20">IF($V$140=$V$142,_xlfn.IFS($X$100=$W$102,AC152,$X$100=$AI$102,AO152,$X$100=$AU$102,BA152,$X$100=$BG$102,BM152,$X$100=$BS$102,BY152,$X$100=$CE$102,CK152),_xlfn.IFS($X$100=$W$102,AC192,$X$100=$AI$102,AO192,$X$100=$AU$102,BA192,$X$100=$BG$102,BM192,$X$100=$BS$102,BY192,$X$100=$CE$102,CK192))</f>
        <v>#N/A</v>
      </c>
      <c r="AP20" t="e" cm="1">
        <f t="array" ref="AP20">IF($V$140=$V$142,_xlfn.IFS($X$100=$W$102,AD152,$X$100=$AI$102,AP152,$X$100=$AU$102,BB152,$X$100=$BG$102,BN152,$X$100=$BS$102,BZ152,$X$100=$CE$102,CL152),_xlfn.IFS($X$100=$W$102,AD192,$X$100=$AI$102,AP192,$X$100=$AU$102,BB192,$X$100=$BG$102,BN192,$X$100=$BS$102,BZ192,$X$100=$CE$102,CL192))</f>
        <v>#N/A</v>
      </c>
      <c r="AQ20" t="e" cm="1">
        <f t="array" ref="AQ20">IF($V$140=$V$142,_xlfn.IFS($X$100=$W$102,AE152,$X$100=$AI$102,AQ152,$X$100=$AU$102,BC152,$X$100=$BG$102,BO152,$X$100=$BS$102,CA152,$X$100=$CE$102,CM152),_xlfn.IFS($X$100=$W$102,AE192,$X$100=$AI$102,AQ192,$X$100=$AU$102,BC192,$X$100=$BG$102,BO192,$X$100=$BS$102,CA192,$X$100=$CE$102,CM192))</f>
        <v>#N/A</v>
      </c>
      <c r="AR20" t="e" cm="1">
        <f t="array" ref="AR20">IF($V$140=$V$142,_xlfn.IFS($X$100=$W$102,AF152,$X$100=$AI$102,AR152,$X$100=$AU$102,BD152,$X$100=$BG$102,BP152,$X$100=$BS$102,CB152,$X$100=$CE$102,CN152),_xlfn.IFS($X$100=$W$102,AF192,$X$100=$AI$102,AR192,$X$100=$AU$102,BD192,$X$100=$BG$102,BP192,$X$100=$BS$102,CB192,$X$100=$CE$102,CN192))</f>
        <v>#N/A</v>
      </c>
      <c r="AT20">
        <f t="shared" si="2"/>
        <v>4.58053351810669E-2</v>
      </c>
      <c r="AU20">
        <f t="shared" si="1"/>
        <v>4.7642401447153357E-2</v>
      </c>
      <c r="AV20">
        <f t="shared" si="1"/>
        <v>6.3793196351170423E-2</v>
      </c>
      <c r="AW20">
        <f t="shared" si="1"/>
        <v>5.647561356461131E-2</v>
      </c>
      <c r="AX20">
        <f t="shared" si="1"/>
        <v>6.7421704915487726E-2</v>
      </c>
      <c r="AZ20" t="e" cm="1">
        <f t="array" ref="AZ20">_xlfn.IFS($X$100=$W$102,AB109,$X$100=$AI$102,AN109,$X$100=$AU$102,AZ109,$X$100=$BG$102,BL109,$X$100=$BS$102,BX109,$X$100=$CE$102,CJ109)</f>
        <v>#N/A</v>
      </c>
      <c r="BA20" t="e" cm="1">
        <f t="array" ref="BA20">_xlfn.IFS($X$100=$W$102,AC109,$X$100=$AI$102,AO109,$X$100=$AU$102,BA109,$X$100=$BG$102,BM109,$X$100=$BS$102,BY109,$X$100=$CE$102,CK109)</f>
        <v>#N/A</v>
      </c>
      <c r="BB20" t="e" cm="1">
        <f t="array" ref="BB20">_xlfn.IFS($X$100=$W$102,AD109,$X$100=$AI$102,AP109,$X$100=$AU$102,BB109,$X$100=$BG$102,BN109,$X$100=$BS$102,BZ109,$X$100=$CE$102,CL109)</f>
        <v>#N/A</v>
      </c>
      <c r="BC20" t="e" cm="1">
        <f t="array" ref="BC20">_xlfn.IFS($X$100=$W$102,AE109,$X$100=$AI$102,AQ109,$X$100=$AU$102,BC109,$X$100=$BG$102,BO109,$X$100=$BS$102,CA109,$X$100=$CE$102,CM109)</f>
        <v>#N/A</v>
      </c>
      <c r="BD20" t="e" cm="1">
        <f t="array" ref="BD20">_xlfn.IFS($X$100=$W$102,AF109,$X$100=$AI$102,AR109,$X$100=$AU$102,BD109,$X$100=$BG$102,BP109,$X$100=$BS$102,CB109,$X$100=$CE$102,CN109)</f>
        <v>#N/A</v>
      </c>
    </row>
    <row r="21" spans="1:56" x14ac:dyDescent="0.2">
      <c r="A21" s="4" t="s">
        <v>21</v>
      </c>
      <c r="C21" s="26" t="str">
        <f>IFERROR((C16-C17)/C18,"")</f>
        <v/>
      </c>
      <c r="D21" s="27" t="str">
        <f t="shared" ref="D21:G21" si="6">IFERROR((D16-D17)/D18,"")</f>
        <v/>
      </c>
      <c r="E21" s="27" t="str">
        <f t="shared" si="6"/>
        <v/>
      </c>
      <c r="F21" s="27" t="str">
        <f t="shared" si="6"/>
        <v/>
      </c>
      <c r="G21" s="28" t="str">
        <f t="shared" si="6"/>
        <v/>
      </c>
      <c r="I21" s="29"/>
      <c r="J21" s="30"/>
      <c r="K21" s="30"/>
      <c r="L21" s="30"/>
      <c r="M21" s="31"/>
      <c r="O21" s="29"/>
      <c r="P21" s="30"/>
      <c r="Q21" s="30"/>
      <c r="R21" s="30"/>
      <c r="S21" s="31"/>
      <c r="U21" s="86">
        <f t="shared" si="3"/>
        <v>9</v>
      </c>
      <c r="V21">
        <v>0.56755532174987511</v>
      </c>
      <c r="W21">
        <v>0.60364985704598673</v>
      </c>
      <c r="X21">
        <v>0.72016604114782845</v>
      </c>
      <c r="Y21">
        <v>0.75221485353066375</v>
      </c>
      <c r="Z21">
        <v>0.85760086298262372</v>
      </c>
      <c r="AA21" s="10">
        <f t="shared" si="4"/>
        <v>6.5</v>
      </c>
      <c r="AB21">
        <v>4.1263298669056522E-2</v>
      </c>
      <c r="AC21">
        <v>4.3536127625382733E-2</v>
      </c>
      <c r="AD21">
        <v>4.7991216644636431E-2</v>
      </c>
      <c r="AE21">
        <v>4.4396222011229378E-2</v>
      </c>
      <c r="AF21">
        <v>5.507869E-2</v>
      </c>
      <c r="AH21" cm="1">
        <f t="array" ref="AH21">_xlfn.IFS($B$11=$Z$13,AB21,$B$11=$Z$50,AT21,$B$11=$Z$99,AZ21,$B$11=$Z$139,AN21)</f>
        <v>4.1263298669056522E-2</v>
      </c>
      <c r="AI21" cm="1">
        <f t="array" ref="AI21">_xlfn.IFS($B$11=$Z$13,AC21,$B$11=$Z$50,AU21,$B$11=$Z$99,BA21,$B$11=$Z$139,AO21)</f>
        <v>4.3536127625382733E-2</v>
      </c>
      <c r="AJ21" cm="1">
        <f t="array" ref="AJ21">_xlfn.IFS($B$11=$Z$13,AD21,$B$11=$Z$50,AV21,$B$11=$Z$99,BB21,$B$11=$Z$139,AP21)</f>
        <v>4.7991216644636431E-2</v>
      </c>
      <c r="AK21" cm="1">
        <f t="array" ref="AK21">_xlfn.IFS($B$11=$Z$13,AE21,$B$11=$Z$50,AW21,$B$11=$Z$99,BC21,$B$11=$Z$139,AQ21)</f>
        <v>4.4396222011229378E-2</v>
      </c>
      <c r="AL21" cm="1">
        <f t="array" ref="AL21">_xlfn.IFS($B$11=$Z$13,AF21,$B$11=$Z$50,AX21,$B$11=$Z$99,BD21,$B$11=$Z$139,AR21)</f>
        <v>5.507869E-2</v>
      </c>
      <c r="AN21" t="e" cm="1">
        <f t="array" ref="AN21">IF($V$140=$V$142,_xlfn.IFS($X$100=$W$102,AB153,$X$100=$AI$102,AN153,$X$100=$AU$102,AZ153,$X$100=$BG$102,BL153,$X$100=$BS$102,BX153,$X$100=$CE$102,CJ153),_xlfn.IFS($X$100=$W$102,AB193,$X$100=$AI$102,AN193,$X$100=$AU$102,AZ193,$X$100=$BG$102,BL193,$X$100=$BS$102,BX193,$X$100=$CE$102,CJ193))</f>
        <v>#N/A</v>
      </c>
      <c r="AO21" t="e" cm="1">
        <f t="array" ref="AO21">IF($V$140=$V$142,_xlfn.IFS($X$100=$W$102,AC153,$X$100=$AI$102,AO153,$X$100=$AU$102,BA153,$X$100=$BG$102,BM153,$X$100=$BS$102,BY153,$X$100=$CE$102,CK153),_xlfn.IFS($X$100=$W$102,AC193,$X$100=$AI$102,AO193,$X$100=$AU$102,BA193,$X$100=$BG$102,BM193,$X$100=$BS$102,BY193,$X$100=$CE$102,CK193))</f>
        <v>#N/A</v>
      </c>
      <c r="AP21" t="e" cm="1">
        <f t="array" ref="AP21">IF($V$140=$V$142,_xlfn.IFS($X$100=$W$102,AD153,$X$100=$AI$102,AP153,$X$100=$AU$102,BB153,$X$100=$BG$102,BN153,$X$100=$BS$102,BZ153,$X$100=$CE$102,CL153),_xlfn.IFS($X$100=$W$102,AD193,$X$100=$AI$102,AP193,$X$100=$AU$102,BB193,$X$100=$BG$102,BN193,$X$100=$BS$102,BZ193,$X$100=$CE$102,CL193))</f>
        <v>#N/A</v>
      </c>
      <c r="AQ21" t="e" cm="1">
        <f t="array" ref="AQ21">IF($V$140=$V$142,_xlfn.IFS($X$100=$W$102,AE153,$X$100=$AI$102,AQ153,$X$100=$AU$102,BC153,$X$100=$BG$102,BO153,$X$100=$BS$102,CA153,$X$100=$CE$102,CM153),_xlfn.IFS($X$100=$W$102,AE193,$X$100=$AI$102,AQ193,$X$100=$AU$102,BC193,$X$100=$BG$102,BO193,$X$100=$BS$102,CA193,$X$100=$CE$102,CM193))</f>
        <v>#N/A</v>
      </c>
      <c r="AR21" t="e" cm="1">
        <f t="array" ref="AR21">IF($V$140=$V$142,_xlfn.IFS($X$100=$W$102,AF153,$X$100=$AI$102,AR153,$X$100=$AU$102,BD153,$X$100=$BG$102,BP153,$X$100=$BS$102,CB153,$X$100=$CE$102,CN153),_xlfn.IFS($X$100=$W$102,AF193,$X$100=$AI$102,AR193,$X$100=$AU$102,BD193,$X$100=$BG$102,BP193,$X$100=$BS$102,CB193,$X$100=$CE$102,CN193))</f>
        <v>#N/A</v>
      </c>
      <c r="AT21">
        <f t="shared" si="2"/>
        <v>4.1384496451201062E-2</v>
      </c>
      <c r="AU21">
        <f t="shared" si="1"/>
        <v>4.4081354742940837E-2</v>
      </c>
      <c r="AV21">
        <f t="shared" si="1"/>
        <v>5.2899604611481597E-2</v>
      </c>
      <c r="AW21">
        <f t="shared" si="1"/>
        <v>4.4869344394901388E-2</v>
      </c>
      <c r="AX21">
        <f t="shared" si="1"/>
        <v>5.6614837791281077E-2</v>
      </c>
      <c r="AZ21" t="e" cm="1">
        <f t="array" ref="AZ21">_xlfn.IFS($X$100=$W$102,AB110,$X$100=$AI$102,AN110,$X$100=$AU$102,AZ110,$X$100=$BG$102,BL110,$X$100=$BS$102,BX110,$X$100=$CE$102,CJ110)</f>
        <v>#N/A</v>
      </c>
      <c r="BA21" t="e" cm="1">
        <f t="array" ref="BA21">_xlfn.IFS($X$100=$W$102,AC110,$X$100=$AI$102,AO110,$X$100=$AU$102,BA110,$X$100=$BG$102,BM110,$X$100=$BS$102,BY110,$X$100=$CE$102,CK110)</f>
        <v>#N/A</v>
      </c>
      <c r="BB21" t="e" cm="1">
        <f t="array" ref="BB21">_xlfn.IFS($X$100=$W$102,AD110,$X$100=$AI$102,AP110,$X$100=$AU$102,BB110,$X$100=$BG$102,BN110,$X$100=$BS$102,BZ110,$X$100=$CE$102,CL110)</f>
        <v>#N/A</v>
      </c>
      <c r="BC21" t="e" cm="1">
        <f t="array" ref="BC21">_xlfn.IFS($X$100=$W$102,AE110,$X$100=$AI$102,AQ110,$X$100=$AU$102,BC110,$X$100=$BG$102,BO110,$X$100=$BS$102,CA110,$X$100=$CE$102,CM110)</f>
        <v>#N/A</v>
      </c>
      <c r="BD21" t="e" cm="1">
        <f t="array" ref="BD21">_xlfn.IFS($X$100=$W$102,AF110,$X$100=$AI$102,AR110,$X$100=$AU$102,BD110,$X$100=$BG$102,BP110,$X$100=$BS$102,CB110,$X$100=$CE$102,CN110)</f>
        <v>#N/A</v>
      </c>
    </row>
    <row r="22" spans="1:56" x14ac:dyDescent="0.2">
      <c r="A22" s="20" t="s">
        <v>146</v>
      </c>
      <c r="C22" s="60"/>
      <c r="D22" s="59"/>
      <c r="E22" s="59"/>
      <c r="F22" s="59"/>
      <c r="G22" s="75"/>
      <c r="I22" s="29"/>
      <c r="J22" s="30"/>
      <c r="K22" s="30"/>
      <c r="L22" s="30"/>
      <c r="M22" s="31"/>
      <c r="O22" s="29"/>
      <c r="P22" s="30"/>
      <c r="Q22" s="30"/>
      <c r="R22" s="30"/>
      <c r="S22" s="31"/>
      <c r="U22" s="86">
        <f t="shared" si="3"/>
        <v>10</v>
      </c>
      <c r="V22">
        <v>0.62948032674984922</v>
      </c>
      <c r="W22">
        <v>0.66646630558487929</v>
      </c>
      <c r="X22">
        <v>0.76719301759216274</v>
      </c>
      <c r="Y22">
        <v>0.80540682925396434</v>
      </c>
      <c r="Z22">
        <v>0.89648590353475754</v>
      </c>
      <c r="AA22" s="10">
        <f t="shared" si="4"/>
        <v>7</v>
      </c>
      <c r="AB22">
        <v>3.9402634796948277E-2</v>
      </c>
      <c r="AC22">
        <v>4.2266855171214597E-2</v>
      </c>
      <c r="AD22">
        <v>4.3621968526054822E-2</v>
      </c>
      <c r="AE22">
        <v>4.2569974082491961E-2</v>
      </c>
      <c r="AF22">
        <v>4.9822071000000002E-2</v>
      </c>
      <c r="AH22" cm="1">
        <f t="array" ref="AH22">_xlfn.IFS($B$11=$Z$13,AB22,$B$11=$Z$50,AT22,$B$11=$Z$99,AZ22,$B$11=$Z$139,AN22)</f>
        <v>3.9402634796948277E-2</v>
      </c>
      <c r="AI22" cm="1">
        <f t="array" ref="AI22">_xlfn.IFS($B$11=$Z$13,AC22,$B$11=$Z$50,AU22,$B$11=$Z$99,BA22,$B$11=$Z$139,AO22)</f>
        <v>4.2266855171214597E-2</v>
      </c>
      <c r="AJ22" cm="1">
        <f t="array" ref="AJ22">_xlfn.IFS($B$11=$Z$13,AD22,$B$11=$Z$50,AV22,$B$11=$Z$99,BB22,$B$11=$Z$139,AP22)</f>
        <v>4.3621968526054822E-2</v>
      </c>
      <c r="AK22" cm="1">
        <f t="array" ref="AK22">_xlfn.IFS($B$11=$Z$13,AE22,$B$11=$Z$50,AW22,$B$11=$Z$99,BC22,$B$11=$Z$139,AQ22)</f>
        <v>4.2569974082491961E-2</v>
      </c>
      <c r="AL22" cm="1">
        <f t="array" ref="AL22">_xlfn.IFS($B$11=$Z$13,AF22,$B$11=$Z$50,AX22,$B$11=$Z$99,BD22,$B$11=$Z$139,AR22)</f>
        <v>4.9822071000000002E-2</v>
      </c>
      <c r="AN22" t="e" cm="1">
        <f t="array" ref="AN22">IF($V$140=$V$142,_xlfn.IFS($X$100=$W$102,AB154,$X$100=$AI$102,AN154,$X$100=$AU$102,AZ154,$X$100=$BG$102,BL154,$X$100=$BS$102,BX154,$X$100=$CE$102,CJ154),_xlfn.IFS($X$100=$W$102,AB194,$X$100=$AI$102,AN194,$X$100=$AU$102,AZ194,$X$100=$BG$102,BL194,$X$100=$BS$102,BX194,$X$100=$CE$102,CJ194))</f>
        <v>#N/A</v>
      </c>
      <c r="AO22" t="e" cm="1">
        <f t="array" ref="AO22">IF($V$140=$V$142,_xlfn.IFS($X$100=$W$102,AC154,$X$100=$AI$102,AO154,$X$100=$AU$102,BA154,$X$100=$BG$102,BM154,$X$100=$BS$102,BY154,$X$100=$CE$102,CK154),_xlfn.IFS($X$100=$W$102,AC194,$X$100=$AI$102,AO194,$X$100=$AU$102,BA194,$X$100=$BG$102,BM194,$X$100=$BS$102,BY194,$X$100=$CE$102,CK194))</f>
        <v>#N/A</v>
      </c>
      <c r="AP22" t="e" cm="1">
        <f t="array" ref="AP22">IF($V$140=$V$142,_xlfn.IFS($X$100=$W$102,AD154,$X$100=$AI$102,AP154,$X$100=$AU$102,BB154,$X$100=$BG$102,BN154,$X$100=$BS$102,BZ154,$X$100=$CE$102,CL154),_xlfn.IFS($X$100=$W$102,AD194,$X$100=$AI$102,AP194,$X$100=$AU$102,BB194,$X$100=$BG$102,BN194,$X$100=$BS$102,BZ194,$X$100=$CE$102,CL194))</f>
        <v>#N/A</v>
      </c>
      <c r="AQ22" t="e" cm="1">
        <f t="array" ref="AQ22">IF($V$140=$V$142,_xlfn.IFS($X$100=$W$102,AE154,$X$100=$AI$102,AQ154,$X$100=$AU$102,BC154,$X$100=$BG$102,BO154,$X$100=$BS$102,CA154,$X$100=$CE$102,CM154),_xlfn.IFS($X$100=$W$102,AE194,$X$100=$AI$102,AQ194,$X$100=$AU$102,BC194,$X$100=$BG$102,BO194,$X$100=$BS$102,CA194,$X$100=$CE$102,CM194))</f>
        <v>#N/A</v>
      </c>
      <c r="AR22" t="e" cm="1">
        <f t="array" ref="AR22">IF($V$140=$V$142,_xlfn.IFS($X$100=$W$102,AF154,$X$100=$AI$102,AR154,$X$100=$AU$102,BD154,$X$100=$BG$102,BP154,$X$100=$BS$102,CB154,$X$100=$CE$102,CN154),_xlfn.IFS($X$100=$W$102,AF194,$X$100=$AI$102,AR194,$X$100=$AU$102,BD194,$X$100=$BG$102,BP194,$X$100=$BS$102,CB194,$X$100=$CE$102,CN194))</f>
        <v>#N/A</v>
      </c>
      <c r="AT22">
        <f t="shared" si="2"/>
        <v>3.870926274966429E-2</v>
      </c>
      <c r="AU22">
        <f t="shared" si="1"/>
        <v>4.2610996569827739E-2</v>
      </c>
      <c r="AV22">
        <f t="shared" si="1"/>
        <v>4.5249819664036697E-2</v>
      </c>
      <c r="AW22">
        <f t="shared" si="1"/>
        <v>4.0668040768446191E-2</v>
      </c>
      <c r="AX22">
        <f t="shared" si="1"/>
        <v>5.0927908542808611E-2</v>
      </c>
      <c r="AZ22" t="e" cm="1">
        <f t="array" ref="AZ22">_xlfn.IFS($X$100=$W$102,AB111,$X$100=$AI$102,AN111,$X$100=$AU$102,AZ111,$X$100=$BG$102,BL111,$X$100=$BS$102,BX111,$X$100=$CE$102,CJ111)</f>
        <v>#N/A</v>
      </c>
      <c r="BA22" t="e" cm="1">
        <f t="array" ref="BA22">_xlfn.IFS($X$100=$W$102,AC111,$X$100=$AI$102,AO111,$X$100=$AU$102,BA111,$X$100=$BG$102,BM111,$X$100=$BS$102,BY111,$X$100=$CE$102,CK111)</f>
        <v>#N/A</v>
      </c>
      <c r="BB22" t="e" cm="1">
        <f t="array" ref="BB22">_xlfn.IFS($X$100=$W$102,AD111,$X$100=$AI$102,AP111,$X$100=$AU$102,BB111,$X$100=$BG$102,BN111,$X$100=$BS$102,BZ111,$X$100=$CE$102,CL111)</f>
        <v>#N/A</v>
      </c>
      <c r="BC22" t="e" cm="1">
        <f t="array" ref="BC22">_xlfn.IFS($X$100=$W$102,AE111,$X$100=$AI$102,AQ111,$X$100=$AU$102,BC111,$X$100=$BG$102,BO111,$X$100=$BS$102,CA111,$X$100=$CE$102,CM111)</f>
        <v>#N/A</v>
      </c>
      <c r="BD22" t="e" cm="1">
        <f t="array" ref="BD22">_xlfn.IFS($X$100=$W$102,AF111,$X$100=$AI$102,AR111,$X$100=$AU$102,BD111,$X$100=$BG$102,BP111,$X$100=$BS$102,CB111,$X$100=$CE$102,CN111)</f>
        <v>#N/A</v>
      </c>
    </row>
    <row r="23" spans="1:56" x14ac:dyDescent="0.2">
      <c r="A23" s="4" t="s">
        <v>55</v>
      </c>
      <c r="C23" s="8" t="str">
        <f>IFERROR((normalitet!B$5+1)-model!C16,"")</f>
        <v/>
      </c>
      <c r="D23" s="8" t="str">
        <f>IFERROR((normalitet!C$5+1)-model!D16,"")</f>
        <v/>
      </c>
      <c r="E23" s="8" t="str">
        <f>IFERROR((normalitet!D$5+1)-model!E16,"")</f>
        <v/>
      </c>
      <c r="F23" s="8" t="str">
        <f>IFERROR((normalitet!E$5+1)-model!F16,"")</f>
        <v/>
      </c>
      <c r="G23" s="8" t="str">
        <f>IFERROR((normalitet!F$5+1)-model!G16,"")</f>
        <v/>
      </c>
      <c r="I23" s="26" t="str">
        <f>IFERROR(SQRT($C23),"")</f>
        <v/>
      </c>
      <c r="J23" s="27" t="str">
        <f>IFERROR(SQRT($D23),"")</f>
        <v/>
      </c>
      <c r="K23" s="27" t="str">
        <f>IFERROR(SQRT($E23),"")</f>
        <v/>
      </c>
      <c r="L23" s="27" t="str">
        <f>IFERROR(SQRT($F23),"")</f>
        <v/>
      </c>
      <c r="M23" s="28" t="str">
        <f>IFERROR(SQRT($G23),"")</f>
        <v/>
      </c>
      <c r="O23" s="26" t="str">
        <f>IFERROR(LOG10($C23),"")</f>
        <v/>
      </c>
      <c r="P23" s="27" t="str">
        <f>IFERROR(LOG10($D23),"")</f>
        <v/>
      </c>
      <c r="Q23" s="27" t="str">
        <f>IFERROR(LOG10($E23),"")</f>
        <v/>
      </c>
      <c r="R23" s="27" t="str">
        <f>IFERROR(LOG10($F23),"")</f>
        <v/>
      </c>
      <c r="S23" s="28" t="str">
        <f>IFERROR(LOG10($G23),"")</f>
        <v/>
      </c>
      <c r="U23" s="86">
        <f t="shared" si="3"/>
        <v>11</v>
      </c>
      <c r="V23">
        <v>0.68883095493140378</v>
      </c>
      <c r="W23">
        <v>0.72273251947095962</v>
      </c>
      <c r="X23">
        <v>0.80763120629563212</v>
      </c>
      <c r="Y23">
        <v>0.8476659254036385</v>
      </c>
      <c r="Z23">
        <v>0.92270848827858831</v>
      </c>
      <c r="AA23" s="10">
        <f t="shared" si="4"/>
        <v>7.5</v>
      </c>
      <c r="AB23">
        <v>3.8926980809525037E-2</v>
      </c>
      <c r="AC23">
        <v>4.2661570889438609E-2</v>
      </c>
      <c r="AD23">
        <v>4.0352005313361181E-2</v>
      </c>
      <c r="AE23">
        <v>4.2575239985176788E-2</v>
      </c>
      <c r="AF23">
        <v>5.0847636000000002E-2</v>
      </c>
      <c r="AH23" cm="1">
        <f t="array" ref="AH23">_xlfn.IFS($B$11=$Z$13,AB23,$B$11=$Z$50,AT23,$B$11=$Z$99,AZ23,$B$11=$Z$139,AN23)</f>
        <v>3.8926980809525037E-2</v>
      </c>
      <c r="AI23" cm="1">
        <f t="array" ref="AI23">_xlfn.IFS($B$11=$Z$13,AC23,$B$11=$Z$50,AU23,$B$11=$Z$99,BA23,$B$11=$Z$139,AO23)</f>
        <v>4.2661570889438609E-2</v>
      </c>
      <c r="AJ23" cm="1">
        <f t="array" ref="AJ23">_xlfn.IFS($B$11=$Z$13,AD23,$B$11=$Z$50,AV23,$B$11=$Z$99,BB23,$B$11=$Z$139,AP23)</f>
        <v>4.0352005313361181E-2</v>
      </c>
      <c r="AK23" cm="1">
        <f t="array" ref="AK23">_xlfn.IFS($B$11=$Z$13,AE23,$B$11=$Z$50,AW23,$B$11=$Z$99,BC23,$B$11=$Z$139,AQ23)</f>
        <v>4.2575239985176788E-2</v>
      </c>
      <c r="AL23" cm="1">
        <f t="array" ref="AL23">_xlfn.IFS($B$11=$Z$13,AF23,$B$11=$Z$50,AX23,$B$11=$Z$99,BD23,$B$11=$Z$139,AR23)</f>
        <v>5.0847636000000002E-2</v>
      </c>
      <c r="AN23" t="e" cm="1">
        <f t="array" ref="AN23">IF($V$140=$V$142,_xlfn.IFS($X$100=$W$102,AB155,$X$100=$AI$102,AN155,$X$100=$AU$102,AZ155,$X$100=$BG$102,BL155,$X$100=$BS$102,BX155,$X$100=$CE$102,CJ155),_xlfn.IFS($X$100=$W$102,AB195,$X$100=$AI$102,AN195,$X$100=$AU$102,AZ195,$X$100=$BG$102,BL195,$X$100=$BS$102,BX195,$X$100=$CE$102,CJ195))</f>
        <v>#N/A</v>
      </c>
      <c r="AO23" t="e" cm="1">
        <f t="array" ref="AO23">IF($V$140=$V$142,_xlfn.IFS($X$100=$W$102,AC155,$X$100=$AI$102,AO155,$X$100=$AU$102,BA155,$X$100=$BG$102,BM155,$X$100=$BS$102,BY155,$X$100=$CE$102,CK155),_xlfn.IFS($X$100=$W$102,AC195,$X$100=$AI$102,AO195,$X$100=$AU$102,BA195,$X$100=$BG$102,BM195,$X$100=$BS$102,BY195,$X$100=$CE$102,CK195))</f>
        <v>#N/A</v>
      </c>
      <c r="AP23" t="e" cm="1">
        <f t="array" ref="AP23">IF($V$140=$V$142,_xlfn.IFS($X$100=$W$102,AD155,$X$100=$AI$102,AP155,$X$100=$AU$102,BB155,$X$100=$BG$102,BN155,$X$100=$BS$102,BZ155,$X$100=$CE$102,CL155),_xlfn.IFS($X$100=$W$102,AD195,$X$100=$AI$102,AP195,$X$100=$AU$102,BB195,$X$100=$BG$102,BN195,$X$100=$BS$102,BZ195,$X$100=$CE$102,CL195))</f>
        <v>#N/A</v>
      </c>
      <c r="AQ23" t="e" cm="1">
        <f t="array" ref="AQ23">IF($V$140=$V$142,_xlfn.IFS($X$100=$W$102,AE155,$X$100=$AI$102,AQ155,$X$100=$AU$102,BC155,$X$100=$BG$102,BO155,$X$100=$BS$102,CA155,$X$100=$CE$102,CM155),_xlfn.IFS($X$100=$W$102,AE195,$X$100=$AI$102,AQ195,$X$100=$AU$102,BC195,$X$100=$BG$102,BO195,$X$100=$BS$102,CA195,$X$100=$CE$102,CM195))</f>
        <v>#N/A</v>
      </c>
      <c r="AR23" t="e" cm="1">
        <f t="array" ref="AR23">IF($V$140=$V$142,_xlfn.IFS($X$100=$W$102,AF155,$X$100=$AI$102,AR155,$X$100=$AU$102,BD155,$X$100=$BG$102,BP155,$X$100=$BS$102,CB155,$X$100=$CE$102,CN155),_xlfn.IFS($X$100=$W$102,AF195,$X$100=$AI$102,AR195,$X$100=$AU$102,BD195,$X$100=$BG$102,BP195,$X$100=$BS$102,CB195,$X$100=$CE$102,CN195))</f>
        <v>#N/A</v>
      </c>
      <c r="AT23">
        <f t="shared" si="2"/>
        <v>3.7555390985000797E-2</v>
      </c>
      <c r="AU23">
        <f t="shared" si="1"/>
        <v>4.2428080281218757E-2</v>
      </c>
      <c r="AV23">
        <f t="shared" si="1"/>
        <v>4.0533371539465887E-2</v>
      </c>
      <c r="AW23">
        <f t="shared" si="1"/>
        <v>3.8617949340916481E-2</v>
      </c>
      <c r="AX23">
        <f t="shared" si="1"/>
        <v>4.8085789068133211E-2</v>
      </c>
      <c r="AZ23" t="e" cm="1">
        <f t="array" ref="AZ23">_xlfn.IFS($X$100=$W$102,AB112,$X$100=$AI$102,AN112,$X$100=$AU$102,AZ112,$X$100=$BG$102,BL112,$X$100=$BS$102,BX112,$X$100=$CE$102,CJ112)</f>
        <v>#N/A</v>
      </c>
      <c r="BA23" t="e" cm="1">
        <f t="array" ref="BA23">_xlfn.IFS($X$100=$W$102,AC112,$X$100=$AI$102,AO112,$X$100=$AU$102,BA112,$X$100=$BG$102,BM112,$X$100=$BS$102,BY112,$X$100=$CE$102,CK112)</f>
        <v>#N/A</v>
      </c>
      <c r="BB23" t="e" cm="1">
        <f t="array" ref="BB23">_xlfn.IFS($X$100=$W$102,AD112,$X$100=$AI$102,AP112,$X$100=$AU$102,BB112,$X$100=$BG$102,BN112,$X$100=$BS$102,BZ112,$X$100=$CE$102,CL112)</f>
        <v>#N/A</v>
      </c>
      <c r="BC23" t="e" cm="1">
        <f t="array" ref="BC23">_xlfn.IFS($X$100=$W$102,AE112,$X$100=$AI$102,AQ112,$X$100=$AU$102,BC112,$X$100=$BG$102,BO112,$X$100=$BS$102,CA112,$X$100=$CE$102,CM112)</f>
        <v>#N/A</v>
      </c>
      <c r="BD23" t="e" cm="1">
        <f t="array" ref="BD23">_xlfn.IFS($X$100=$W$102,AF112,$X$100=$AI$102,AR112,$X$100=$AU$102,BD112,$X$100=$BG$102,BP112,$X$100=$BS$102,CB112,$X$100=$CE$102,CN112)</f>
        <v>#N/A</v>
      </c>
    </row>
    <row r="24" spans="1:56" x14ac:dyDescent="0.2">
      <c r="A24" s="4" t="s">
        <v>56</v>
      </c>
      <c r="C24" s="8">
        <f>(normalitet!B$5+1)-model!C17</f>
        <v>11.430992</v>
      </c>
      <c r="D24" s="8">
        <f>(normalitet!C$5+1)-model!D17</f>
        <v>11.741289</v>
      </c>
      <c r="E24" s="8">
        <f>(normalitet!D$5+1)-model!E17</f>
        <v>12.823928</v>
      </c>
      <c r="F24" s="8">
        <f>(normalitet!E$5+1)-model!F17</f>
        <v>13.229012000000001</v>
      </c>
      <c r="G24" s="8">
        <f>(normalitet!F$5+1)-model!G17</f>
        <v>14.16821</v>
      </c>
      <c r="I24" s="26"/>
      <c r="J24" s="27"/>
      <c r="K24" s="27"/>
      <c r="L24" s="27"/>
      <c r="M24" s="28"/>
      <c r="O24" s="26"/>
      <c r="P24" s="27"/>
      <c r="Q24" s="27"/>
      <c r="R24" s="27"/>
      <c r="S24" s="28"/>
      <c r="U24" s="86">
        <f t="shared" si="3"/>
        <v>12</v>
      </c>
      <c r="V24">
        <v>0.74713175973520018</v>
      </c>
      <c r="W24">
        <v>0.77749095716348515</v>
      </c>
      <c r="X24">
        <v>0.8448833270169771</v>
      </c>
      <c r="Y24">
        <v>0.88505105717542021</v>
      </c>
      <c r="Z24">
        <v>0.94660465090813695</v>
      </c>
      <c r="AA24" s="10">
        <f t="shared" si="4"/>
        <v>8</v>
      </c>
      <c r="AB24">
        <v>3.8157772549521657E-2</v>
      </c>
      <c r="AC24">
        <v>4.2727227121484038E-2</v>
      </c>
      <c r="AD24">
        <v>3.7471063352424207E-2</v>
      </c>
      <c r="AE24">
        <v>4.2419309263781409E-2</v>
      </c>
      <c r="AF24">
        <v>4.9244581000000003E-2</v>
      </c>
      <c r="AH24" cm="1">
        <f t="array" ref="AH24">_xlfn.IFS($B$11=$Z$13,AB24,$B$11=$Z$50,AT24,$B$11=$Z$99,AZ24,$B$11=$Z$139,AN24)</f>
        <v>3.8157772549521657E-2</v>
      </c>
      <c r="AI24" cm="1">
        <f t="array" ref="AI24">_xlfn.IFS($B$11=$Z$13,AC24,$B$11=$Z$50,AU24,$B$11=$Z$99,BA24,$B$11=$Z$139,AO24)</f>
        <v>4.2727227121484038E-2</v>
      </c>
      <c r="AJ24" cm="1">
        <f t="array" ref="AJ24">_xlfn.IFS($B$11=$Z$13,AD24,$B$11=$Z$50,AV24,$B$11=$Z$99,BB24,$B$11=$Z$139,AP24)</f>
        <v>3.7471063352424207E-2</v>
      </c>
      <c r="AK24" cm="1">
        <f t="array" ref="AK24">_xlfn.IFS($B$11=$Z$13,AE24,$B$11=$Z$50,AW24,$B$11=$Z$99,BC24,$B$11=$Z$139,AQ24)</f>
        <v>4.2419309263781409E-2</v>
      </c>
      <c r="AL24" cm="1">
        <f t="array" ref="AL24">_xlfn.IFS($B$11=$Z$13,AF24,$B$11=$Z$50,AX24,$B$11=$Z$99,BD24,$B$11=$Z$139,AR24)</f>
        <v>4.9244581000000003E-2</v>
      </c>
      <c r="AN24" t="e" cm="1">
        <f t="array" ref="AN24">IF($V$140=$V$142,_xlfn.IFS($X$100=$W$102,AB156,$X$100=$AI$102,AN156,$X$100=$AU$102,AZ156,$X$100=$BG$102,BL156,$X$100=$BS$102,BX156,$X$100=$CE$102,CJ156),_xlfn.IFS($X$100=$W$102,AB196,$X$100=$AI$102,AN196,$X$100=$AU$102,AZ196,$X$100=$BG$102,BL196,$X$100=$BS$102,BX196,$X$100=$CE$102,CJ196))</f>
        <v>#N/A</v>
      </c>
      <c r="AO24" t="e" cm="1">
        <f t="array" ref="AO24">IF($V$140=$V$142,_xlfn.IFS($X$100=$W$102,AC156,$X$100=$AI$102,AO156,$X$100=$AU$102,BA156,$X$100=$BG$102,BM156,$X$100=$BS$102,BY156,$X$100=$CE$102,CK156),_xlfn.IFS($X$100=$W$102,AC196,$X$100=$AI$102,AO196,$X$100=$AU$102,BA196,$X$100=$BG$102,BM196,$X$100=$BS$102,BY196,$X$100=$CE$102,CK196))</f>
        <v>#N/A</v>
      </c>
      <c r="AP24" t="e" cm="1">
        <f t="array" ref="AP24">IF($V$140=$V$142,_xlfn.IFS($X$100=$W$102,AD156,$X$100=$AI$102,AP156,$X$100=$AU$102,BB156,$X$100=$BG$102,BN156,$X$100=$BS$102,BZ156,$X$100=$CE$102,CL156),_xlfn.IFS($X$100=$W$102,AD196,$X$100=$AI$102,AP196,$X$100=$AU$102,BB196,$X$100=$BG$102,BN196,$X$100=$BS$102,BZ196,$X$100=$CE$102,CL196))</f>
        <v>#N/A</v>
      </c>
      <c r="AQ24" t="e" cm="1">
        <f t="array" ref="AQ24">IF($V$140=$V$142,_xlfn.IFS($X$100=$W$102,AE156,$X$100=$AI$102,AQ156,$X$100=$AU$102,BC156,$X$100=$BG$102,BO156,$X$100=$BS$102,CA156,$X$100=$CE$102,CM156),_xlfn.IFS($X$100=$W$102,AE196,$X$100=$AI$102,AQ196,$X$100=$AU$102,BC196,$X$100=$BG$102,BO196,$X$100=$BS$102,CA196,$X$100=$CE$102,CM196))</f>
        <v>#N/A</v>
      </c>
      <c r="AR24" t="e" cm="1">
        <f t="array" ref="AR24">IF($V$140=$V$142,_xlfn.IFS($X$100=$W$102,AF156,$X$100=$AI$102,AR156,$X$100=$AU$102,BD156,$X$100=$BG$102,BP156,$X$100=$BS$102,CB156,$X$100=$CE$102,CN156),_xlfn.IFS($X$100=$W$102,AF196,$X$100=$AI$102,AR196,$X$100=$AU$102,BD196,$X$100=$BG$102,BP196,$X$100=$BS$102,CB196,$X$100=$CE$102,CN196))</f>
        <v>#N/A</v>
      </c>
      <c r="AT24">
        <f t="shared" si="2"/>
        <v>3.5967866807522487E-2</v>
      </c>
      <c r="AU24">
        <f t="shared" si="1"/>
        <v>4.2488480170360873E-2</v>
      </c>
      <c r="AV24">
        <f t="shared" si="1"/>
        <v>3.665633696661743E-2</v>
      </c>
      <c r="AW24">
        <f t="shared" si="1"/>
        <v>3.7568224729230701E-2</v>
      </c>
      <c r="AX24">
        <f t="shared" si="1"/>
        <v>4.4458978443543552E-2</v>
      </c>
      <c r="AZ24" t="e" cm="1">
        <f t="array" ref="AZ24">_xlfn.IFS($X$100=$W$102,AB113,$X$100=$AI$102,AN113,$X$100=$AU$102,AZ113,$X$100=$BG$102,BL113,$X$100=$BS$102,BX113,$X$100=$CE$102,CJ113)</f>
        <v>#N/A</v>
      </c>
      <c r="BA24" t="e" cm="1">
        <f t="array" ref="BA24">_xlfn.IFS($X$100=$W$102,AC113,$X$100=$AI$102,AO113,$X$100=$AU$102,BA113,$X$100=$BG$102,BM113,$X$100=$BS$102,BY113,$X$100=$CE$102,CK113)</f>
        <v>#N/A</v>
      </c>
      <c r="BB24" t="e" cm="1">
        <f t="array" ref="BB24">_xlfn.IFS($X$100=$W$102,AD113,$X$100=$AI$102,AP113,$X$100=$AU$102,BB113,$X$100=$BG$102,BN113,$X$100=$BS$102,BZ113,$X$100=$CE$102,CL113)</f>
        <v>#N/A</v>
      </c>
      <c r="BC24" t="e" cm="1">
        <f t="array" ref="BC24">_xlfn.IFS($X$100=$W$102,AE113,$X$100=$AI$102,AQ113,$X$100=$AU$102,BC113,$X$100=$BG$102,BO113,$X$100=$BS$102,CA113,$X$100=$CE$102,CM113)</f>
        <v>#N/A</v>
      </c>
      <c r="BD24" t="e" cm="1">
        <f t="array" ref="BD24">_xlfn.IFS($X$100=$W$102,AF113,$X$100=$AI$102,AR113,$X$100=$AU$102,BD113,$X$100=$BG$102,BP113,$X$100=$BS$102,CB113,$X$100=$CE$102,CN113)</f>
        <v>#N/A</v>
      </c>
    </row>
    <row r="25" spans="1:56" x14ac:dyDescent="0.2">
      <c r="A25" s="4" t="s">
        <v>62</v>
      </c>
      <c r="C25" s="8"/>
      <c r="D25" s="8"/>
      <c r="E25" s="8"/>
      <c r="F25" s="8"/>
      <c r="G25" s="8"/>
      <c r="I25" s="57">
        <f>IF($B$9="Ja",I52,I35)</f>
        <v>0</v>
      </c>
      <c r="J25" s="56">
        <f>IF($B$9="Ja",J52,J35)</f>
        <v>0</v>
      </c>
      <c r="K25" s="56">
        <f>IF($B$9="Ja",K52,K35)</f>
        <v>0</v>
      </c>
      <c r="L25" s="56">
        <f>IF($B$9="Ja",L52,L35)</f>
        <v>0</v>
      </c>
      <c r="M25" s="58">
        <f>IF($B$9="Ja",M52,M35)</f>
        <v>0</v>
      </c>
      <c r="O25" s="57">
        <f>IF($B$9="Ja",O52,O35)</f>
        <v>0</v>
      </c>
      <c r="P25" s="56">
        <f>IF($B$9="Ja",P52,P35)</f>
        <v>0</v>
      </c>
      <c r="Q25" s="56">
        <f>IF($B$9="Ja",Q52,Q35)</f>
        <v>0</v>
      </c>
      <c r="R25" s="56">
        <f>IF($B$9="Ja",R52,R35)</f>
        <v>0</v>
      </c>
      <c r="S25" s="58">
        <f>IF($B$9="Ja",S52,S35)</f>
        <v>0</v>
      </c>
      <c r="U25" s="86">
        <f t="shared" si="3"/>
        <v>13</v>
      </c>
      <c r="V25">
        <v>0.79750903627797598</v>
      </c>
      <c r="W25">
        <v>0.82188516886327534</v>
      </c>
      <c r="X25">
        <v>0.87306006828545402</v>
      </c>
      <c r="Y25">
        <v>0.91173697454718827</v>
      </c>
      <c r="Z25">
        <v>0.9613968388373727</v>
      </c>
      <c r="AA25" s="10">
        <f t="shared" si="4"/>
        <v>8.5</v>
      </c>
      <c r="AB25">
        <v>3.6647855664061597E-2</v>
      </c>
      <c r="AC25">
        <v>4.1241789282157708E-2</v>
      </c>
      <c r="AD25">
        <v>3.3913524936706768E-2</v>
      </c>
      <c r="AE25">
        <v>4.0238642404312221E-2</v>
      </c>
      <c r="AF25">
        <v>4.3052338000000002E-2</v>
      </c>
      <c r="AH25" cm="1">
        <f t="array" ref="AH25">_xlfn.IFS($B$11=$Z$13,AB25,$B$11=$Z$50,AT25,$B$11=$Z$99,AZ25,$B$11=$Z$139,AN25)</f>
        <v>3.6647855664061597E-2</v>
      </c>
      <c r="AI25" cm="1">
        <f t="array" ref="AI25">_xlfn.IFS($B$11=$Z$13,AC25,$B$11=$Z$50,AU25,$B$11=$Z$99,BA25,$B$11=$Z$139,AO25)</f>
        <v>4.1241789282157708E-2</v>
      </c>
      <c r="AJ25" cm="1">
        <f t="array" ref="AJ25">_xlfn.IFS($B$11=$Z$13,AD25,$B$11=$Z$50,AV25,$B$11=$Z$99,BB25,$B$11=$Z$139,AP25)</f>
        <v>3.3913524936706768E-2</v>
      </c>
      <c r="AK25" cm="1">
        <f t="array" ref="AK25">_xlfn.IFS($B$11=$Z$13,AE25,$B$11=$Z$50,AW25,$B$11=$Z$99,BC25,$B$11=$Z$139,AQ25)</f>
        <v>4.0238642404312221E-2</v>
      </c>
      <c r="AL25" cm="1">
        <f t="array" ref="AL25">_xlfn.IFS($B$11=$Z$13,AF25,$B$11=$Z$50,AX25,$B$11=$Z$99,BD25,$B$11=$Z$139,AR25)</f>
        <v>4.3052338000000002E-2</v>
      </c>
      <c r="AN25" t="e" cm="1">
        <f t="array" ref="AN25">IF($V$140=$V$142,_xlfn.IFS($X$100=$W$102,AB157,$X$100=$AI$102,AN157,$X$100=$AU$102,AZ157,$X$100=$BG$102,BL157,$X$100=$BS$102,BX157,$X$100=$CE$102,CJ157),_xlfn.IFS($X$100=$W$102,AB197,$X$100=$AI$102,AN197,$X$100=$AU$102,AZ197,$X$100=$BG$102,BL197,$X$100=$BS$102,BX197,$X$100=$CE$102,CJ197))</f>
        <v>#N/A</v>
      </c>
      <c r="AO25" t="e" cm="1">
        <f t="array" ref="AO25">IF($V$140=$V$142,_xlfn.IFS($X$100=$W$102,AC157,$X$100=$AI$102,AO157,$X$100=$AU$102,BA157,$X$100=$BG$102,BM157,$X$100=$BS$102,BY157,$X$100=$CE$102,CK157),_xlfn.IFS($X$100=$W$102,AC197,$X$100=$AI$102,AO197,$X$100=$AU$102,BA197,$X$100=$BG$102,BM197,$X$100=$BS$102,BY197,$X$100=$CE$102,CK197))</f>
        <v>#N/A</v>
      </c>
      <c r="AP25" t="e" cm="1">
        <f t="array" ref="AP25">IF($V$140=$V$142,_xlfn.IFS($X$100=$W$102,AD157,$X$100=$AI$102,AP157,$X$100=$AU$102,BB157,$X$100=$BG$102,BN157,$X$100=$BS$102,BZ157,$X$100=$CE$102,CL157),_xlfn.IFS($X$100=$W$102,AD197,$X$100=$AI$102,AP197,$X$100=$AU$102,BB197,$X$100=$BG$102,BN197,$X$100=$BS$102,BZ197,$X$100=$CE$102,CL197))</f>
        <v>#N/A</v>
      </c>
      <c r="AQ25" t="e" cm="1">
        <f t="array" ref="AQ25">IF($V$140=$V$142,_xlfn.IFS($X$100=$W$102,AE157,$X$100=$AI$102,AQ157,$X$100=$AU$102,BC157,$X$100=$BG$102,BO157,$X$100=$BS$102,CA157,$X$100=$CE$102,CM157),_xlfn.IFS($X$100=$W$102,AE197,$X$100=$AI$102,AQ197,$X$100=$AU$102,BC197,$X$100=$BG$102,BO197,$X$100=$BS$102,CA197,$X$100=$CE$102,CM197))</f>
        <v>#N/A</v>
      </c>
      <c r="AR25" t="e" cm="1">
        <f t="array" ref="AR25">IF($V$140=$V$142,_xlfn.IFS($X$100=$W$102,AF157,$X$100=$AI$102,AR157,$X$100=$AU$102,BD157,$X$100=$BG$102,BP157,$X$100=$BS$102,CB157,$X$100=$CE$102,CN157),_xlfn.IFS($X$100=$W$102,AF197,$X$100=$AI$102,AR197,$X$100=$AU$102,BD197,$X$100=$BG$102,BP197,$X$100=$BS$102,CB197,$X$100=$CE$102,CN197))</f>
        <v>#N/A</v>
      </c>
      <c r="AT25">
        <f t="shared" si="2"/>
        <v>3.432674972974193E-2</v>
      </c>
      <c r="AU25">
        <f t="shared" si="1"/>
        <v>4.1562580483734041E-2</v>
      </c>
      <c r="AV25">
        <f t="shared" si="1"/>
        <v>3.3146149316328977E-2</v>
      </c>
      <c r="AW25">
        <f t="shared" si="1"/>
        <v>3.5948726074240933E-2</v>
      </c>
      <c r="AX25">
        <f t="shared" si="1"/>
        <v>3.712557057853836E-2</v>
      </c>
      <c r="AZ25" t="e" cm="1">
        <f t="array" ref="AZ25">_xlfn.IFS($X$100=$W$102,AB114,$X$100=$AI$102,AN114,$X$100=$AU$102,AZ114,$X$100=$BG$102,BL114,$X$100=$BS$102,BX114,$X$100=$CE$102,CJ114)</f>
        <v>#N/A</v>
      </c>
      <c r="BA25" t="e" cm="1">
        <f t="array" ref="BA25">_xlfn.IFS($X$100=$W$102,AC114,$X$100=$AI$102,AO114,$X$100=$AU$102,BA114,$X$100=$BG$102,BM114,$X$100=$BS$102,BY114,$X$100=$CE$102,CK114)</f>
        <v>#N/A</v>
      </c>
      <c r="BB25" t="e" cm="1">
        <f t="array" ref="BB25">_xlfn.IFS($X$100=$W$102,AD114,$X$100=$AI$102,AP114,$X$100=$AU$102,BB114,$X$100=$BG$102,BN114,$X$100=$BS$102,BZ114,$X$100=$CE$102,CL114)</f>
        <v>#N/A</v>
      </c>
      <c r="BC25" t="e" cm="1">
        <f t="array" ref="BC25">_xlfn.IFS($X$100=$W$102,AE114,$X$100=$AI$102,AQ114,$X$100=$AU$102,BC114,$X$100=$BG$102,BO114,$X$100=$BS$102,CA114,$X$100=$CE$102,CM114)</f>
        <v>#N/A</v>
      </c>
      <c r="BD25" t="e" cm="1">
        <f t="array" ref="BD25">_xlfn.IFS($X$100=$W$102,AF114,$X$100=$AI$102,AR114,$X$100=$AU$102,BD114,$X$100=$BG$102,BP114,$X$100=$BS$102,CB114,$X$100=$CE$102,CN114)</f>
        <v>#N/A</v>
      </c>
    </row>
    <row r="26" spans="1:56" x14ac:dyDescent="0.2">
      <c r="A26" s="4" t="s">
        <v>57</v>
      </c>
      <c r="C26" s="10"/>
      <c r="D26" s="10"/>
      <c r="E26" s="10"/>
      <c r="F26" s="10"/>
      <c r="G26" s="10"/>
      <c r="I26" s="60" t="str">
        <f>IFERROR(_xlfn.NORM.DIST(I23,I24,I25,TRUE)*100,"")</f>
        <v/>
      </c>
      <c r="J26" s="59" t="str">
        <f>IFERROR(_xlfn.NORM.DIST(J23,J24,J25,TRUE)*100,"")</f>
        <v/>
      </c>
      <c r="K26" s="59" t="str">
        <f>IFERROR(_xlfn.NORM.DIST(K23,K24,K25,TRUE)*100,"")</f>
        <v/>
      </c>
      <c r="L26" s="59" t="str">
        <f>IFERROR(_xlfn.NORM.DIST(L23,L24,L25,TRUE)*100,"")</f>
        <v/>
      </c>
      <c r="M26" s="59" t="str">
        <f>IFERROR(_xlfn.NORM.DIST(M23,M24,M25,TRUE)*100,"")</f>
        <v/>
      </c>
      <c r="N26" s="29"/>
      <c r="O26" s="60" t="str">
        <f>IFERROR(_xlfn.NORM.DIST(O23,O24,O25,TRUE)*100,"")</f>
        <v/>
      </c>
      <c r="P26" s="59" t="str">
        <f>IFERROR(_xlfn.NORM.DIST(P23,P24,P25,TRUE)*100,"")</f>
        <v/>
      </c>
      <c r="Q26" s="59" t="str">
        <f>IFERROR(_xlfn.NORM.DIST(Q23,Q24,Q25,TRUE)*100,"")</f>
        <v/>
      </c>
      <c r="R26" s="59" t="str">
        <f>IFERROR(_xlfn.NORM.DIST(R23,R24,R25,TRUE)*100,"")</f>
        <v/>
      </c>
      <c r="S26" s="59" t="str">
        <f>IFERROR(_xlfn.NORM.DIST(S23,S24,S25,TRUE)*100,"")</f>
        <v/>
      </c>
      <c r="T26" s="29"/>
      <c r="U26" s="86">
        <f t="shared" si="3"/>
        <v>14</v>
      </c>
      <c r="V26">
        <v>0.83928020073281195</v>
      </c>
      <c r="W26">
        <v>0.85726660683353428</v>
      </c>
      <c r="X26">
        <v>0.89414771544599581</v>
      </c>
      <c r="Y26">
        <v>0.93141273376577771</v>
      </c>
      <c r="Z26">
        <v>0.97173671814606888</v>
      </c>
      <c r="AA26" s="10">
        <f t="shared" si="4"/>
        <v>9</v>
      </c>
      <c r="AB26">
        <v>3.4722539004916217E-2</v>
      </c>
      <c r="AC26">
        <v>3.8319335698402873E-2</v>
      </c>
      <c r="AD26">
        <v>3.0450870704280798E-2</v>
      </c>
      <c r="AE26">
        <v>3.6658005546924763E-2</v>
      </c>
      <c r="AF26">
        <v>3.3377182999999998E-2</v>
      </c>
      <c r="AH26" cm="1">
        <f t="array" ref="AH26">_xlfn.IFS($B$11=$Z$13,AB26,$B$11=$Z$50,AT26,$B$11=$Z$99,AZ26,$B$11=$Z$139,AN26)</f>
        <v>3.4722539004916217E-2</v>
      </c>
      <c r="AI26" cm="1">
        <f t="array" ref="AI26">_xlfn.IFS($B$11=$Z$13,AC26,$B$11=$Z$50,AU26,$B$11=$Z$99,BA26,$B$11=$Z$139,AO26)</f>
        <v>3.8319335698402873E-2</v>
      </c>
      <c r="AJ26" cm="1">
        <f t="array" ref="AJ26">_xlfn.IFS($B$11=$Z$13,AD26,$B$11=$Z$50,AV26,$B$11=$Z$99,BB26,$B$11=$Z$139,AP26)</f>
        <v>3.0450870704280798E-2</v>
      </c>
      <c r="AK26" cm="1">
        <f t="array" ref="AK26">_xlfn.IFS($B$11=$Z$13,AE26,$B$11=$Z$50,AW26,$B$11=$Z$99,BC26,$B$11=$Z$139,AQ26)</f>
        <v>3.6658005546924763E-2</v>
      </c>
      <c r="AL26" cm="1">
        <f t="array" ref="AL26">_xlfn.IFS($B$11=$Z$13,AF26,$B$11=$Z$50,AX26,$B$11=$Z$99,BD26,$B$11=$Z$139,AR26)</f>
        <v>3.3377182999999998E-2</v>
      </c>
      <c r="AN26" t="e" cm="1">
        <f t="array" ref="AN26">IF($V$140=$V$142,_xlfn.IFS($X$100=$W$102,AB158,$X$100=$AI$102,AN158,$X$100=$AU$102,AZ158,$X$100=$BG$102,BL158,$X$100=$BS$102,BX158,$X$100=$CE$102,CJ158),_xlfn.IFS($X$100=$W$102,AB198,$X$100=$AI$102,AN198,$X$100=$AU$102,AZ198,$X$100=$BG$102,BL198,$X$100=$BS$102,BX198,$X$100=$CE$102,CJ198))</f>
        <v>#N/A</v>
      </c>
      <c r="AO26" t="e" cm="1">
        <f t="array" ref="AO26">IF($V$140=$V$142,_xlfn.IFS($X$100=$W$102,AC158,$X$100=$AI$102,AO158,$X$100=$AU$102,BA158,$X$100=$BG$102,BM158,$X$100=$BS$102,BY158,$X$100=$CE$102,CK158),_xlfn.IFS($X$100=$W$102,AC198,$X$100=$AI$102,AO198,$X$100=$AU$102,BA198,$X$100=$BG$102,BM198,$X$100=$BS$102,BY198,$X$100=$CE$102,CK198))</f>
        <v>#N/A</v>
      </c>
      <c r="AP26" t="e" cm="1">
        <f t="array" ref="AP26">IF($V$140=$V$142,_xlfn.IFS($X$100=$W$102,AD158,$X$100=$AI$102,AP158,$X$100=$AU$102,BB158,$X$100=$BG$102,BN158,$X$100=$BS$102,BZ158,$X$100=$CE$102,CL158),_xlfn.IFS($X$100=$W$102,AD198,$X$100=$AI$102,AP198,$X$100=$AU$102,BB198,$X$100=$BG$102,BN198,$X$100=$BS$102,BZ198,$X$100=$CE$102,CL198))</f>
        <v>#N/A</v>
      </c>
      <c r="AQ26" t="e" cm="1">
        <f t="array" ref="AQ26">IF($V$140=$V$142,_xlfn.IFS($X$100=$W$102,AE158,$X$100=$AI$102,AQ158,$X$100=$AU$102,BC158,$X$100=$BG$102,BO158,$X$100=$BS$102,CA158,$X$100=$CE$102,CM158),_xlfn.IFS($X$100=$W$102,AE198,$X$100=$AI$102,AQ198,$X$100=$AU$102,BC198,$X$100=$BG$102,BO198,$X$100=$BS$102,CA198,$X$100=$CE$102,CM198))</f>
        <v>#N/A</v>
      </c>
      <c r="AR26" t="e" cm="1">
        <f t="array" ref="AR26">IF($V$140=$V$142,_xlfn.IFS($X$100=$W$102,AF158,$X$100=$AI$102,AR158,$X$100=$AU$102,BD158,$X$100=$BG$102,BP158,$X$100=$BS$102,CB158,$X$100=$CE$102,CN158),_xlfn.IFS($X$100=$W$102,AF198,$X$100=$AI$102,AR198,$X$100=$AU$102,BD198,$X$100=$BG$102,BP198,$X$100=$BS$102,CB198,$X$100=$CE$102,CN198))</f>
        <v>#N/A</v>
      </c>
      <c r="AT26">
        <f t="shared" si="2"/>
        <v>3.2066347322728027E-2</v>
      </c>
      <c r="AU26">
        <f t="shared" si="1"/>
        <v>3.8737284253736542E-2</v>
      </c>
      <c r="AV26">
        <f t="shared" si="1"/>
        <v>2.9810066564528909E-2</v>
      </c>
      <c r="AW26">
        <f t="shared" si="1"/>
        <v>3.3286755512737999E-2</v>
      </c>
      <c r="AX26">
        <f t="shared" si="1"/>
        <v>2.801848286125003E-2</v>
      </c>
      <c r="AZ26" t="e" cm="1">
        <f t="array" ref="AZ26">_xlfn.IFS($X$100=$W$102,AB115,$X$100=$AI$102,AN115,$X$100=$AU$102,AZ115,$X$100=$BG$102,BL115,$X$100=$BS$102,BX115,$X$100=$CE$102,CJ115)</f>
        <v>#N/A</v>
      </c>
      <c r="BA26" t="e" cm="1">
        <f t="array" ref="BA26">_xlfn.IFS($X$100=$W$102,AC115,$X$100=$AI$102,AO115,$X$100=$AU$102,BA115,$X$100=$BG$102,BM115,$X$100=$BS$102,BY115,$X$100=$CE$102,CK115)</f>
        <v>#N/A</v>
      </c>
      <c r="BB26" t="e" cm="1">
        <f t="array" ref="BB26">_xlfn.IFS($X$100=$W$102,AD115,$X$100=$AI$102,AP115,$X$100=$AU$102,BB115,$X$100=$BG$102,BN115,$X$100=$BS$102,BZ115,$X$100=$CE$102,CL115)</f>
        <v>#N/A</v>
      </c>
      <c r="BC26" t="e" cm="1">
        <f t="array" ref="BC26">_xlfn.IFS($X$100=$W$102,AE115,$X$100=$AI$102,AQ115,$X$100=$AU$102,BC115,$X$100=$BG$102,BO115,$X$100=$BS$102,CA115,$X$100=$CE$102,CM115)</f>
        <v>#N/A</v>
      </c>
      <c r="BD26" t="e" cm="1">
        <f t="array" ref="BD26">_xlfn.IFS($X$100=$W$102,AF115,$X$100=$AI$102,AR115,$X$100=$AU$102,BD115,$X$100=$BG$102,BP115,$X$100=$BS$102,CB115,$X$100=$CE$102,CN115)</f>
        <v>#N/A</v>
      </c>
    </row>
    <row r="27" spans="1:56" x14ac:dyDescent="0.2">
      <c r="A27" s="4"/>
      <c r="I27" s="74"/>
      <c r="J27" s="74"/>
      <c r="K27" s="74"/>
      <c r="L27" s="74"/>
      <c r="M27" s="74"/>
      <c r="O27" s="74"/>
      <c r="P27" s="74"/>
      <c r="Q27" s="74"/>
      <c r="R27" s="74"/>
      <c r="S27" s="74"/>
      <c r="U27" s="86">
        <f t="shared" si="3"/>
        <v>15</v>
      </c>
      <c r="V27">
        <v>0.87300262886805369</v>
      </c>
      <c r="W27">
        <v>0.88554481268396368</v>
      </c>
      <c r="X27">
        <v>0.911510537288307</v>
      </c>
      <c r="Y27">
        <v>0.94696555681987482</v>
      </c>
      <c r="Z27">
        <v>0.97952454190613492</v>
      </c>
      <c r="AA27" s="10">
        <f t="shared" si="4"/>
        <v>9.5</v>
      </c>
      <c r="AB27">
        <v>3.3015563330365691E-2</v>
      </c>
      <c r="AC27">
        <v>3.5130303806289308E-2</v>
      </c>
      <c r="AD27">
        <v>2.735899732550191E-2</v>
      </c>
      <c r="AE27">
        <v>3.2220054478812141E-2</v>
      </c>
      <c r="AF27">
        <v>2.4502330999999999E-2</v>
      </c>
      <c r="AH27" cm="1">
        <f t="array" ref="AH27">_xlfn.IFS($B$11=$Z$13,AB27,$B$11=$Z$50,AT27,$B$11=$Z$99,AZ27,$B$11=$Z$139,AN27)</f>
        <v>3.3015563330365691E-2</v>
      </c>
      <c r="AI27" cm="1">
        <f t="array" ref="AI27">_xlfn.IFS($B$11=$Z$13,AC27,$B$11=$Z$50,AU27,$B$11=$Z$99,BA27,$B$11=$Z$139,AO27)</f>
        <v>3.5130303806289308E-2</v>
      </c>
      <c r="AJ27" cm="1">
        <f t="array" ref="AJ27">_xlfn.IFS($B$11=$Z$13,AD27,$B$11=$Z$50,AV27,$B$11=$Z$99,BB27,$B$11=$Z$139,AP27)</f>
        <v>2.735899732550191E-2</v>
      </c>
      <c r="AK27" cm="1">
        <f t="array" ref="AK27">_xlfn.IFS($B$11=$Z$13,AE27,$B$11=$Z$50,AW27,$B$11=$Z$99,BC27,$B$11=$Z$139,AQ27)</f>
        <v>3.2220054478812141E-2</v>
      </c>
      <c r="AL27" cm="1">
        <f t="array" ref="AL27">_xlfn.IFS($B$11=$Z$13,AF27,$B$11=$Z$50,AX27,$B$11=$Z$99,BD27,$B$11=$Z$139,AR27)</f>
        <v>2.4502330999999999E-2</v>
      </c>
      <c r="AN27" t="e" cm="1">
        <f t="array" ref="AN27">IF($V$140=$V$142,_xlfn.IFS($X$100=$W$102,AB159,$X$100=$AI$102,AN159,$X$100=$AU$102,AZ159,$X$100=$BG$102,BL159,$X$100=$BS$102,BX159,$X$100=$CE$102,CJ159),_xlfn.IFS($X$100=$W$102,AB199,$X$100=$AI$102,AN199,$X$100=$AU$102,AZ199,$X$100=$BG$102,BL199,$X$100=$BS$102,BX199,$X$100=$CE$102,CJ199))</f>
        <v>#N/A</v>
      </c>
      <c r="AO27" t="e" cm="1">
        <f t="array" ref="AO27">IF($V$140=$V$142,_xlfn.IFS($X$100=$W$102,AC159,$X$100=$AI$102,AO159,$X$100=$AU$102,BA159,$X$100=$BG$102,BM159,$X$100=$BS$102,BY159,$X$100=$CE$102,CK159),_xlfn.IFS($X$100=$W$102,AC199,$X$100=$AI$102,AO199,$X$100=$AU$102,BA199,$X$100=$BG$102,BM199,$X$100=$BS$102,BY199,$X$100=$CE$102,CK199))</f>
        <v>#N/A</v>
      </c>
      <c r="AP27" t="e" cm="1">
        <f t="array" ref="AP27">IF($V$140=$V$142,_xlfn.IFS($X$100=$W$102,AD159,$X$100=$AI$102,AP159,$X$100=$AU$102,BB159,$X$100=$BG$102,BN159,$X$100=$BS$102,BZ159,$X$100=$CE$102,CL159),_xlfn.IFS($X$100=$W$102,AD199,$X$100=$AI$102,AP199,$X$100=$AU$102,BB199,$X$100=$BG$102,BN199,$X$100=$BS$102,BZ199,$X$100=$CE$102,CL199))</f>
        <v>#N/A</v>
      </c>
      <c r="AQ27" t="e" cm="1">
        <f t="array" ref="AQ27">IF($V$140=$V$142,_xlfn.IFS($X$100=$W$102,AE159,$X$100=$AI$102,AQ159,$X$100=$AU$102,BC159,$X$100=$BG$102,BO159,$X$100=$BS$102,CA159,$X$100=$CE$102,CM159),_xlfn.IFS($X$100=$W$102,AE199,$X$100=$AI$102,AQ199,$X$100=$AU$102,BC199,$X$100=$BG$102,BO199,$X$100=$BS$102,CA199,$X$100=$CE$102,CM199))</f>
        <v>#N/A</v>
      </c>
      <c r="AR27" t="e" cm="1">
        <f t="array" ref="AR27">IF($V$140=$V$142,_xlfn.IFS($X$100=$W$102,AF159,$X$100=$AI$102,AR159,$X$100=$AU$102,BD159,$X$100=$BG$102,BP159,$X$100=$BS$102,CB159,$X$100=$CE$102,CN159),_xlfn.IFS($X$100=$W$102,AF199,$X$100=$AI$102,AR199,$X$100=$AU$102,BD199,$X$100=$BG$102,BP199,$X$100=$BS$102,CB199,$X$100=$CE$102,CN199))</f>
        <v>#N/A</v>
      </c>
      <c r="AT27">
        <f t="shared" si="2"/>
        <v>3.0276515612675949E-2</v>
      </c>
      <c r="AU27">
        <f t="shared" si="1"/>
        <v>3.5431705327843142E-2</v>
      </c>
      <c r="AV27">
        <f t="shared" si="1"/>
        <v>2.673444292665797E-2</v>
      </c>
      <c r="AW27">
        <f t="shared" si="1"/>
        <v>3.0406191572712259E-2</v>
      </c>
      <c r="AX27">
        <f t="shared" si="1"/>
        <v>1.9186609819554491E-2</v>
      </c>
      <c r="AZ27" t="e" cm="1">
        <f t="array" ref="AZ27">_xlfn.IFS($X$100=$W$102,AB116,$X$100=$AI$102,AN116,$X$100=$AU$102,AZ116,$X$100=$BG$102,BL116,$X$100=$BS$102,BX116,$X$100=$CE$102,CJ116)</f>
        <v>#N/A</v>
      </c>
      <c r="BA27" t="e" cm="1">
        <f t="array" ref="BA27">_xlfn.IFS($X$100=$W$102,AC116,$X$100=$AI$102,AO116,$X$100=$AU$102,BA116,$X$100=$BG$102,BM116,$X$100=$BS$102,BY116,$X$100=$CE$102,CK116)</f>
        <v>#N/A</v>
      </c>
      <c r="BB27" t="e" cm="1">
        <f t="array" ref="BB27">_xlfn.IFS($X$100=$W$102,AD116,$X$100=$AI$102,AP116,$X$100=$AU$102,BB116,$X$100=$BG$102,BN116,$X$100=$BS$102,BZ116,$X$100=$CE$102,CL116)</f>
        <v>#N/A</v>
      </c>
      <c r="BC27" t="e" cm="1">
        <f t="array" ref="BC27">_xlfn.IFS($X$100=$W$102,AE116,$X$100=$AI$102,AQ116,$X$100=$AU$102,BC116,$X$100=$BG$102,BO116,$X$100=$BS$102,CA116,$X$100=$CE$102,CM116)</f>
        <v>#N/A</v>
      </c>
      <c r="BD27" t="e" cm="1">
        <f t="array" ref="BD27">_xlfn.IFS($X$100=$W$102,AF116,$X$100=$AI$102,AR116,$X$100=$AU$102,BD116,$X$100=$BG$102,BP116,$X$100=$BS$102,CB116,$X$100=$CE$102,CN116)</f>
        <v>#N/A</v>
      </c>
    </row>
    <row r="28" spans="1:56" x14ac:dyDescent="0.2">
      <c r="A28" s="11" t="s">
        <v>143</v>
      </c>
      <c r="B28" s="12"/>
      <c r="C28" s="12"/>
      <c r="D28" s="12"/>
      <c r="E28" s="12"/>
      <c r="F28" s="12"/>
      <c r="G28" s="12"/>
      <c r="H28" s="12"/>
      <c r="I28" s="11"/>
      <c r="J28" s="12"/>
      <c r="K28" s="12"/>
      <c r="L28" s="12"/>
      <c r="M28" s="12"/>
      <c r="N28" s="12"/>
      <c r="O28" s="11"/>
      <c r="P28" s="12"/>
      <c r="Q28" s="12"/>
      <c r="R28" s="12"/>
      <c r="S28" s="12"/>
      <c r="U28" s="86">
        <f t="shared" si="3"/>
        <v>16</v>
      </c>
      <c r="V28">
        <v>0.9014417830925664</v>
      </c>
      <c r="W28">
        <v>0.90976673239809058</v>
      </c>
      <c r="X28">
        <v>0.92886872821213684</v>
      </c>
      <c r="Y28">
        <v>0.960346547823688</v>
      </c>
      <c r="Z28">
        <v>0.98489227172287852</v>
      </c>
      <c r="AA28" s="10">
        <f t="shared" si="4"/>
        <v>10</v>
      </c>
      <c r="AB28">
        <v>3.1727167634435637E-2</v>
      </c>
      <c r="AC28">
        <v>3.2117942614915719E-2</v>
      </c>
      <c r="AD28">
        <v>2.492409290210798E-2</v>
      </c>
      <c r="AE28">
        <v>2.7695434548196261E-2</v>
      </c>
      <c r="AF28">
        <v>1.9055365000000001E-2</v>
      </c>
      <c r="AH28" cm="1">
        <f t="array" ref="AH28">_xlfn.IFS($B$11=$Z$13,AB28,$B$11=$Z$50,AT28,$B$11=$Z$99,AZ28,$B$11=$Z$139,AN28)</f>
        <v>3.1727167634435637E-2</v>
      </c>
      <c r="AI28" cm="1">
        <f t="array" ref="AI28">_xlfn.IFS($B$11=$Z$13,AC28,$B$11=$Z$50,AU28,$B$11=$Z$99,BA28,$B$11=$Z$139,AO28)</f>
        <v>3.2117942614915719E-2</v>
      </c>
      <c r="AJ28" cm="1">
        <f t="array" ref="AJ28">_xlfn.IFS($B$11=$Z$13,AD28,$B$11=$Z$50,AV28,$B$11=$Z$99,BB28,$B$11=$Z$139,AP28)</f>
        <v>2.492409290210798E-2</v>
      </c>
      <c r="AK28" cm="1">
        <f t="array" ref="AK28">_xlfn.IFS($B$11=$Z$13,AE28,$B$11=$Z$50,AW28,$B$11=$Z$99,BC28,$B$11=$Z$139,AQ28)</f>
        <v>2.7695434548196261E-2</v>
      </c>
      <c r="AL28" cm="1">
        <f t="array" ref="AL28">_xlfn.IFS($B$11=$Z$13,AF28,$B$11=$Z$50,AX28,$B$11=$Z$99,BD28,$B$11=$Z$139,AR28)</f>
        <v>1.9055365000000001E-2</v>
      </c>
      <c r="AN28" t="e" cm="1">
        <f t="array" ref="AN28">IF($V$140=$V$142,_xlfn.IFS($X$100=$W$102,AB160,$X$100=$AI$102,AN160,$X$100=$AU$102,AZ160,$X$100=$BG$102,BL160,$X$100=$BS$102,BX160,$X$100=$CE$102,CJ160),_xlfn.IFS($X$100=$W$102,AB200,$X$100=$AI$102,AN200,$X$100=$AU$102,AZ200,$X$100=$BG$102,BL200,$X$100=$BS$102,BX200,$X$100=$CE$102,CJ200))</f>
        <v>#N/A</v>
      </c>
      <c r="AO28" t="e" cm="1">
        <f t="array" ref="AO28">IF($V$140=$V$142,_xlfn.IFS($X$100=$W$102,AC160,$X$100=$AI$102,AO160,$X$100=$AU$102,BA160,$X$100=$BG$102,BM160,$X$100=$BS$102,BY160,$X$100=$CE$102,CK160),_xlfn.IFS($X$100=$W$102,AC200,$X$100=$AI$102,AO200,$X$100=$AU$102,BA200,$X$100=$BG$102,BM200,$X$100=$BS$102,BY200,$X$100=$CE$102,CK200))</f>
        <v>#N/A</v>
      </c>
      <c r="AP28" t="e" cm="1">
        <f t="array" ref="AP28">IF($V$140=$V$142,_xlfn.IFS($X$100=$W$102,AD160,$X$100=$AI$102,AP160,$X$100=$AU$102,BB160,$X$100=$BG$102,BN160,$X$100=$BS$102,BZ160,$X$100=$CE$102,CL160),_xlfn.IFS($X$100=$W$102,AD200,$X$100=$AI$102,AP200,$X$100=$AU$102,BB200,$X$100=$BG$102,BN200,$X$100=$BS$102,BZ200,$X$100=$CE$102,CL200))</f>
        <v>#N/A</v>
      </c>
      <c r="AQ28" t="e" cm="1">
        <f t="array" ref="AQ28">IF($V$140=$V$142,_xlfn.IFS($X$100=$W$102,AE160,$X$100=$AI$102,AQ160,$X$100=$AU$102,BC160,$X$100=$BG$102,BO160,$X$100=$BS$102,CA160,$X$100=$CE$102,CM160),_xlfn.IFS($X$100=$W$102,AE200,$X$100=$AI$102,AQ200,$X$100=$AU$102,BC200,$X$100=$BG$102,BO200,$X$100=$BS$102,CA200,$X$100=$CE$102,CM200))</f>
        <v>#N/A</v>
      </c>
      <c r="AR28" t="e" cm="1">
        <f t="array" ref="AR28">IF($V$140=$V$142,_xlfn.IFS($X$100=$W$102,AF160,$X$100=$AI$102,AR160,$X$100=$AU$102,BD160,$X$100=$BG$102,BP160,$X$100=$BS$102,CB160,$X$100=$CE$102,CN160),_xlfn.IFS($X$100=$W$102,AF200,$X$100=$AI$102,AR200,$X$100=$AU$102,BD200,$X$100=$BG$102,BP200,$X$100=$BS$102,CB200,$X$100=$CE$102,CN200))</f>
        <v>#N/A</v>
      </c>
      <c r="AT28">
        <f t="shared" si="2"/>
        <v>2.908354984524943E-2</v>
      </c>
      <c r="AU28">
        <f t="shared" si="1"/>
        <v>3.2239775713795563E-2</v>
      </c>
      <c r="AV28">
        <f t="shared" si="1"/>
        <v>2.3981750438640301E-2</v>
      </c>
      <c r="AW28">
        <f t="shared" si="1"/>
        <v>2.7498729306836729E-2</v>
      </c>
      <c r="AX28">
        <f t="shared" si="1"/>
        <v>1.3737060834247731E-2</v>
      </c>
      <c r="AZ28" t="e" cm="1">
        <f t="array" ref="AZ28">_xlfn.IFS($X$100=$W$102,AB117,$X$100=$AI$102,AN117,$X$100=$AU$102,AZ117,$X$100=$BG$102,BL117,$X$100=$BS$102,BX117,$X$100=$CE$102,CJ117)</f>
        <v>#N/A</v>
      </c>
      <c r="BA28" t="e" cm="1">
        <f t="array" ref="BA28">_xlfn.IFS($X$100=$W$102,AC117,$X$100=$AI$102,AO117,$X$100=$AU$102,BA117,$X$100=$BG$102,BM117,$X$100=$BS$102,BY117,$X$100=$CE$102,CK117)</f>
        <v>#N/A</v>
      </c>
      <c r="BB28" t="e" cm="1">
        <f t="array" ref="BB28">_xlfn.IFS($X$100=$W$102,AD117,$X$100=$AI$102,AP117,$X$100=$AU$102,BB117,$X$100=$BG$102,BN117,$X$100=$BS$102,BZ117,$X$100=$CE$102,CL117)</f>
        <v>#N/A</v>
      </c>
      <c r="BC28" t="e" cm="1">
        <f t="array" ref="BC28">_xlfn.IFS($X$100=$W$102,AE117,$X$100=$AI$102,AQ117,$X$100=$AU$102,BC117,$X$100=$BG$102,BO117,$X$100=$BS$102,CA117,$X$100=$CE$102,CM117)</f>
        <v>#N/A</v>
      </c>
      <c r="BD28" t="e" cm="1">
        <f t="array" ref="BD28">_xlfn.IFS($X$100=$W$102,AF117,$X$100=$AI$102,AR117,$X$100=$AU$102,BD117,$X$100=$BG$102,BP117,$X$100=$BS$102,CB117,$X$100=$CE$102,CN117)</f>
        <v>#N/A</v>
      </c>
    </row>
    <row r="29" spans="1:56" s="62" customFormat="1" x14ac:dyDescent="0.2">
      <c r="A29" s="61" t="s">
        <v>134</v>
      </c>
      <c r="I29" s="61"/>
      <c r="O29" s="61"/>
      <c r="U29" s="86">
        <f t="shared" si="3"/>
        <v>17</v>
      </c>
      <c r="V29">
        <v>0.92384957061815154</v>
      </c>
      <c r="W29">
        <v>0.92763639881061277</v>
      </c>
      <c r="X29">
        <v>0.94120659782144744</v>
      </c>
      <c r="Y29">
        <v>0.96954791964594078</v>
      </c>
      <c r="Z29">
        <v>0.98718927367894893</v>
      </c>
      <c r="AA29" s="10">
        <f t="shared" si="4"/>
        <v>10.5</v>
      </c>
      <c r="AB29">
        <v>3.1312606206016863E-2</v>
      </c>
      <c r="AC29">
        <v>3.0300255030504961E-2</v>
      </c>
      <c r="AD29">
        <v>2.296330938740062E-2</v>
      </c>
      <c r="AE29">
        <v>2.471442748731624E-2</v>
      </c>
      <c r="AF29">
        <v>1.5469754E-2</v>
      </c>
      <c r="AH29" cm="1">
        <f t="array" ref="AH29">_xlfn.IFS($B$11=$Z$13,AB29,$B$11=$Z$50,AT29,$B$11=$Z$99,AZ29,$B$11=$Z$139,AN29)</f>
        <v>3.1312606206016863E-2</v>
      </c>
      <c r="AI29" cm="1">
        <f t="array" ref="AI29">_xlfn.IFS($B$11=$Z$13,AC29,$B$11=$Z$50,AU29,$B$11=$Z$99,BA29,$B$11=$Z$139,AO29)</f>
        <v>3.0300255030504961E-2</v>
      </c>
      <c r="AJ29" cm="1">
        <f t="array" ref="AJ29">_xlfn.IFS($B$11=$Z$13,AD29,$B$11=$Z$50,AV29,$B$11=$Z$99,BB29,$B$11=$Z$139,AP29)</f>
        <v>2.296330938740062E-2</v>
      </c>
      <c r="AK29" cm="1">
        <f t="array" ref="AK29">_xlfn.IFS($B$11=$Z$13,AE29,$B$11=$Z$50,AW29,$B$11=$Z$99,BC29,$B$11=$Z$139,AQ29)</f>
        <v>2.471442748731624E-2</v>
      </c>
      <c r="AL29" cm="1">
        <f t="array" ref="AL29">_xlfn.IFS($B$11=$Z$13,AF29,$B$11=$Z$50,AX29,$B$11=$Z$99,BD29,$B$11=$Z$139,AR29)</f>
        <v>1.5469754E-2</v>
      </c>
      <c r="AN29" t="e" cm="1">
        <f t="array" ref="AN29">IF($V$140=$V$142,_xlfn.IFS($X$100=$W$102,AB161,$X$100=$AI$102,AN161,$X$100=$AU$102,AZ161,$X$100=$BG$102,BL161,$X$100=$BS$102,BX161,$X$100=$CE$102,CJ161),_xlfn.IFS($X$100=$W$102,AB201,$X$100=$AI$102,AN201,$X$100=$AU$102,AZ201,$X$100=$BG$102,BL201,$X$100=$BS$102,BX201,$X$100=$CE$102,CJ201))</f>
        <v>#N/A</v>
      </c>
      <c r="AO29" t="e" cm="1">
        <f t="array" ref="AO29">IF($V$140=$V$142,_xlfn.IFS($X$100=$W$102,AC161,$X$100=$AI$102,AO161,$X$100=$AU$102,BA161,$X$100=$BG$102,BM161,$X$100=$BS$102,BY161,$X$100=$CE$102,CK161),_xlfn.IFS($X$100=$W$102,AC201,$X$100=$AI$102,AO201,$X$100=$AU$102,BA201,$X$100=$BG$102,BM201,$X$100=$BS$102,BY201,$X$100=$CE$102,CK201))</f>
        <v>#N/A</v>
      </c>
      <c r="AP29" t="e" cm="1">
        <f t="array" ref="AP29">IF($V$140=$V$142,_xlfn.IFS($X$100=$W$102,AD161,$X$100=$AI$102,AP161,$X$100=$AU$102,BB161,$X$100=$BG$102,BN161,$X$100=$BS$102,BZ161,$X$100=$CE$102,CL161),_xlfn.IFS($X$100=$W$102,AD201,$X$100=$AI$102,AP201,$X$100=$AU$102,BB201,$X$100=$BG$102,BN201,$X$100=$BS$102,BZ201,$X$100=$CE$102,CL201))</f>
        <v>#N/A</v>
      </c>
      <c r="AQ29" t="e" cm="1">
        <f t="array" ref="AQ29">IF($V$140=$V$142,_xlfn.IFS($X$100=$W$102,AE161,$X$100=$AI$102,AQ161,$X$100=$AU$102,BC161,$X$100=$BG$102,BO161,$X$100=$BS$102,CA161,$X$100=$CE$102,CM161),_xlfn.IFS($X$100=$W$102,AE201,$X$100=$AI$102,AQ201,$X$100=$AU$102,BC201,$X$100=$BG$102,BO201,$X$100=$BS$102,CA201,$X$100=$CE$102,CM201))</f>
        <v>#N/A</v>
      </c>
      <c r="AR29" t="e" cm="1">
        <f t="array" ref="AR29">IF($V$140=$V$142,_xlfn.IFS($X$100=$W$102,AF161,$X$100=$AI$102,AR161,$X$100=$AU$102,BD161,$X$100=$BG$102,BP161,$X$100=$BS$102,CB161,$X$100=$CE$102,CN161),_xlfn.IFS($X$100=$W$102,AF201,$X$100=$AI$102,AR201,$X$100=$AU$102,BD201,$X$100=$BG$102,BP201,$X$100=$BS$102,CB201,$X$100=$CE$102,CN201))</f>
        <v>#N/A</v>
      </c>
      <c r="AT29">
        <f t="shared" si="2"/>
        <v>2.876475860965472E-2</v>
      </c>
      <c r="AU29">
        <f t="shared" si="1"/>
        <v>2.9815507240834861E-2</v>
      </c>
      <c r="AV29">
        <f t="shared" si="1"/>
        <v>2.1737452403864189E-2</v>
      </c>
      <c r="AW29">
        <f t="shared" si="1"/>
        <v>2.5039170342803872E-2</v>
      </c>
      <c r="AX29">
        <f t="shared" si="1"/>
        <v>1.171449658097203E-2</v>
      </c>
      <c r="AZ29" t="e" cm="1">
        <f t="array" ref="AZ29">_xlfn.IFS($X$100=$W$102,AB118,$X$100=$AI$102,AN118,$X$100=$AU$102,AZ118,$X$100=$BG$102,BL118,$X$100=$BS$102,BX118,$X$100=$CE$102,CJ118)</f>
        <v>#N/A</v>
      </c>
      <c r="BA29" t="e" cm="1">
        <f t="array" ref="BA29">_xlfn.IFS($X$100=$W$102,AC118,$X$100=$AI$102,AO118,$X$100=$AU$102,BA118,$X$100=$BG$102,BM118,$X$100=$BS$102,BY118,$X$100=$CE$102,CK118)</f>
        <v>#N/A</v>
      </c>
      <c r="BB29" t="e" cm="1">
        <f t="array" ref="BB29">_xlfn.IFS($X$100=$W$102,AD118,$X$100=$AI$102,AP118,$X$100=$AU$102,BB118,$X$100=$BG$102,BN118,$X$100=$BS$102,BZ118,$X$100=$CE$102,CL118)</f>
        <v>#N/A</v>
      </c>
      <c r="BC29" t="e" cm="1">
        <f t="array" ref="BC29">_xlfn.IFS($X$100=$W$102,AE118,$X$100=$AI$102,AQ118,$X$100=$AU$102,BC118,$X$100=$BG$102,BO118,$X$100=$BS$102,CA118,$X$100=$CE$102,CM118)</f>
        <v>#N/A</v>
      </c>
      <c r="BD29" t="e" cm="1">
        <f t="array" ref="BD29">_xlfn.IFS($X$100=$W$102,AF118,$X$100=$AI$102,AR118,$X$100=$AU$102,BD118,$X$100=$BG$102,BP118,$X$100=$BS$102,CB118,$X$100=$CE$102,CN118)</f>
        <v>#N/A</v>
      </c>
    </row>
    <row r="30" spans="1:56" x14ac:dyDescent="0.2">
      <c r="A30" s="4" t="s">
        <v>20</v>
      </c>
      <c r="C30" s="54">
        <v>9.5690080000000002</v>
      </c>
      <c r="D30" s="54">
        <v>9.2587109999999999</v>
      </c>
      <c r="E30" s="54">
        <v>8.1760719999999996</v>
      </c>
      <c r="F30" s="54">
        <v>7.770988</v>
      </c>
      <c r="G30" s="54">
        <v>6.8317899999999998</v>
      </c>
      <c r="I30" s="22"/>
      <c r="J30" s="22"/>
      <c r="K30" s="22"/>
      <c r="L30" s="22"/>
      <c r="M30" s="22"/>
      <c r="O30" s="22">
        <v>0.93227130000000002</v>
      </c>
      <c r="P30" s="22">
        <v>0.91821149999999996</v>
      </c>
      <c r="Q30" s="22">
        <v>0.86071589999999998</v>
      </c>
      <c r="R30" s="22">
        <v>0.84297069999999996</v>
      </c>
      <c r="S30" s="22">
        <v>0.79914830000000003</v>
      </c>
      <c r="U30" s="86">
        <f t="shared" si="3"/>
        <v>18</v>
      </c>
      <c r="V30">
        <v>0.94493157644602332</v>
      </c>
      <c r="W30">
        <v>0.94525488095498611</v>
      </c>
      <c r="X30">
        <v>0.95372629006487808</v>
      </c>
      <c r="Y30">
        <v>0.9777052054443558</v>
      </c>
      <c r="Z30">
        <v>0.98863559894728514</v>
      </c>
      <c r="AA30" s="10">
        <f t="shared" si="4"/>
        <v>11</v>
      </c>
      <c r="AB30">
        <v>3.1222689089520691E-2</v>
      </c>
      <c r="AC30">
        <v>2.953138029328058E-2</v>
      </c>
      <c r="AD30">
        <v>2.1655426222011741E-2</v>
      </c>
      <c r="AE30">
        <v>2.2861430355278059E-2</v>
      </c>
      <c r="AF30">
        <v>1.3596489E-2</v>
      </c>
      <c r="AH30" cm="1">
        <f t="array" ref="AH30">_xlfn.IFS($B$11=$Z$13,AB30,$B$11=$Z$50,AT30,$B$11=$Z$99,AZ30,$B$11=$Z$139,AN30)</f>
        <v>3.1222689089520691E-2</v>
      </c>
      <c r="AI30" cm="1">
        <f t="array" ref="AI30">_xlfn.IFS($B$11=$Z$13,AC30,$B$11=$Z$50,AU30,$B$11=$Z$99,BA30,$B$11=$Z$139,AO30)</f>
        <v>2.953138029328058E-2</v>
      </c>
      <c r="AJ30" cm="1">
        <f t="array" ref="AJ30">_xlfn.IFS($B$11=$Z$13,AD30,$B$11=$Z$50,AV30,$B$11=$Z$99,BB30,$B$11=$Z$139,AP30)</f>
        <v>2.1655426222011741E-2</v>
      </c>
      <c r="AK30" cm="1">
        <f t="array" ref="AK30">_xlfn.IFS($B$11=$Z$13,AE30,$B$11=$Z$50,AW30,$B$11=$Z$99,BC30,$B$11=$Z$139,AQ30)</f>
        <v>2.2861430355278059E-2</v>
      </c>
      <c r="AL30" cm="1">
        <f t="array" ref="AL30">_xlfn.IFS($B$11=$Z$13,AF30,$B$11=$Z$50,AX30,$B$11=$Z$99,BD30,$B$11=$Z$139,AR30)</f>
        <v>1.3596489E-2</v>
      </c>
      <c r="AN30" t="e" cm="1">
        <f t="array" ref="AN30">IF($V$140=$V$142,_xlfn.IFS($X$100=$W$102,AB162,$X$100=$AI$102,AN162,$X$100=$AU$102,AZ162,$X$100=$BG$102,BL162,$X$100=$BS$102,BX162,$X$100=$CE$102,CJ162),_xlfn.IFS($X$100=$W$102,AB202,$X$100=$AI$102,AN202,$X$100=$AU$102,AZ202,$X$100=$BG$102,BL202,$X$100=$BS$102,BX202,$X$100=$CE$102,CJ202))</f>
        <v>#N/A</v>
      </c>
      <c r="AO30" t="e" cm="1">
        <f t="array" ref="AO30">IF($V$140=$V$142,_xlfn.IFS($X$100=$W$102,AC162,$X$100=$AI$102,AO162,$X$100=$AU$102,BA162,$X$100=$BG$102,BM162,$X$100=$BS$102,BY162,$X$100=$CE$102,CK162),_xlfn.IFS($X$100=$W$102,AC202,$X$100=$AI$102,AO202,$X$100=$AU$102,BA202,$X$100=$BG$102,BM202,$X$100=$BS$102,BY202,$X$100=$CE$102,CK202))</f>
        <v>#N/A</v>
      </c>
      <c r="AP30" t="e" cm="1">
        <f t="array" ref="AP30">IF($V$140=$V$142,_xlfn.IFS($X$100=$W$102,AD162,$X$100=$AI$102,AP162,$X$100=$AU$102,BB162,$X$100=$BG$102,BN162,$X$100=$BS$102,BZ162,$X$100=$CE$102,CL162),_xlfn.IFS($X$100=$W$102,AD202,$X$100=$AI$102,AP202,$X$100=$AU$102,BB202,$X$100=$BG$102,BN202,$X$100=$BS$102,BZ202,$X$100=$CE$102,CL202))</f>
        <v>#N/A</v>
      </c>
      <c r="AQ30" t="e" cm="1">
        <f t="array" ref="AQ30">IF($V$140=$V$142,_xlfn.IFS($X$100=$W$102,AE162,$X$100=$AI$102,AQ162,$X$100=$AU$102,BC162,$X$100=$BG$102,BO162,$X$100=$BS$102,CA162,$X$100=$CE$102,CM162),_xlfn.IFS($X$100=$W$102,AE202,$X$100=$AI$102,AQ202,$X$100=$AU$102,BC202,$X$100=$BG$102,BO202,$X$100=$BS$102,CA202,$X$100=$CE$102,CM202))</f>
        <v>#N/A</v>
      </c>
      <c r="AR30" t="e" cm="1">
        <f t="array" ref="AR30">IF($V$140=$V$142,_xlfn.IFS($X$100=$W$102,AF162,$X$100=$AI$102,AR162,$X$100=$AU$102,BD162,$X$100=$BG$102,BP162,$X$100=$BS$102,CB162,$X$100=$CE$102,CN162),_xlfn.IFS($X$100=$W$102,AF202,$X$100=$AI$102,AR202,$X$100=$AU$102,BD202,$X$100=$BG$102,BP202,$X$100=$BS$102,CB202,$X$100=$CE$102,CN202))</f>
        <v>#N/A</v>
      </c>
      <c r="AT30">
        <f t="shared" si="2"/>
        <v>2.9154515289799909E-2</v>
      </c>
      <c r="AU30">
        <f t="shared" si="1"/>
        <v>2.856583957666211E-2</v>
      </c>
      <c r="AV30">
        <f t="shared" si="1"/>
        <v>2.0092368383573939E-2</v>
      </c>
      <c r="AW30">
        <f t="shared" si="1"/>
        <v>2.2876019409482241E-2</v>
      </c>
      <c r="AX30">
        <f t="shared" si="1"/>
        <v>1.154016108468541E-2</v>
      </c>
      <c r="AZ30" t="e" cm="1">
        <f t="array" ref="AZ30">_xlfn.IFS($X$100=$W$102,AB119,$X$100=$AI$102,AN119,$X$100=$AU$102,AZ119,$X$100=$BG$102,BL119,$X$100=$BS$102,BX119,$X$100=$CE$102,CJ119)</f>
        <v>#N/A</v>
      </c>
      <c r="BA30" t="e" cm="1">
        <f t="array" ref="BA30">_xlfn.IFS($X$100=$W$102,AC119,$X$100=$AI$102,AO119,$X$100=$AU$102,BA119,$X$100=$BG$102,BM119,$X$100=$BS$102,BY119,$X$100=$CE$102,CK119)</f>
        <v>#N/A</v>
      </c>
      <c r="BB30" t="e" cm="1">
        <f t="array" ref="BB30">_xlfn.IFS($X$100=$W$102,AD119,$X$100=$AI$102,AP119,$X$100=$AU$102,BB119,$X$100=$BG$102,BN119,$X$100=$BS$102,BZ119,$X$100=$CE$102,CL119)</f>
        <v>#N/A</v>
      </c>
      <c r="BC30" t="e" cm="1">
        <f t="array" ref="BC30">_xlfn.IFS($X$100=$W$102,AE119,$X$100=$AI$102,AQ119,$X$100=$AU$102,BC119,$X$100=$BG$102,BO119,$X$100=$BS$102,CA119,$X$100=$CE$102,CM119)</f>
        <v>#N/A</v>
      </c>
      <c r="BD30" t="e" cm="1">
        <f t="array" ref="BD30">_xlfn.IFS($X$100=$W$102,AF119,$X$100=$AI$102,AR119,$X$100=$AU$102,BD119,$X$100=$BG$102,BP119,$X$100=$BS$102,CB119,$X$100=$CE$102,CN119)</f>
        <v>#N/A</v>
      </c>
    </row>
    <row r="31" spans="1:56" x14ac:dyDescent="0.2">
      <c r="A31" s="4" t="s">
        <v>10</v>
      </c>
      <c r="C31" s="54">
        <v>4.4467840000000001</v>
      </c>
      <c r="D31" s="54">
        <v>4.3641569999999996</v>
      </c>
      <c r="E31" s="54">
        <v>4.2453479999999999</v>
      </c>
      <c r="F31" s="54">
        <v>3.8183739999999999</v>
      </c>
      <c r="G31" s="54">
        <v>3.0282710000000002</v>
      </c>
      <c r="I31" s="22"/>
      <c r="J31" s="22"/>
      <c r="K31" s="22"/>
      <c r="L31" s="22"/>
      <c r="M31" s="22"/>
      <c r="O31" s="22">
        <v>0.20927519999999999</v>
      </c>
      <c r="P31" s="22">
        <v>0.20721980000000001</v>
      </c>
      <c r="Q31" s="22">
        <v>0.20768110000000001</v>
      </c>
      <c r="R31" s="22">
        <v>0.20012930000000001</v>
      </c>
      <c r="S31" s="22">
        <v>0.16950999999999999</v>
      </c>
      <c r="U31" s="86">
        <f t="shared" si="3"/>
        <v>19</v>
      </c>
      <c r="V31">
        <v>0.97005674531242803</v>
      </c>
      <c r="W31">
        <v>0.96905531027939817</v>
      </c>
      <c r="X31">
        <v>0.9718406317550099</v>
      </c>
      <c r="Y31">
        <v>0.98716820381056758</v>
      </c>
      <c r="Z31">
        <v>0.9934556711377267</v>
      </c>
      <c r="AA31" s="10">
        <f t="shared" si="4"/>
        <v>11.5</v>
      </c>
      <c r="AB31">
        <v>3.10250421407905E-2</v>
      </c>
      <c r="AC31">
        <v>2.9140582119753681E-2</v>
      </c>
      <c r="AD31">
        <v>2.077109399794734E-2</v>
      </c>
      <c r="AE31">
        <v>2.1568630675483601E-2</v>
      </c>
      <c r="AF31">
        <v>1.2903435E-2</v>
      </c>
      <c r="AH31" cm="1">
        <f t="array" ref="AH31">_xlfn.IFS($B$11=$Z$13,AB31,$B$11=$Z$50,AT31,$B$11=$Z$99,AZ31,$B$11=$Z$139,AN31)</f>
        <v>3.10250421407905E-2</v>
      </c>
      <c r="AI31" cm="1">
        <f t="array" ref="AI31">_xlfn.IFS($B$11=$Z$13,AC31,$B$11=$Z$50,AU31,$B$11=$Z$99,BA31,$B$11=$Z$139,AO31)</f>
        <v>2.9140582119753681E-2</v>
      </c>
      <c r="AJ31" cm="1">
        <f t="array" ref="AJ31">_xlfn.IFS($B$11=$Z$13,AD31,$B$11=$Z$50,AV31,$B$11=$Z$99,BB31,$B$11=$Z$139,AP31)</f>
        <v>2.077109399794734E-2</v>
      </c>
      <c r="AK31" cm="1">
        <f t="array" ref="AK31">_xlfn.IFS($B$11=$Z$13,AE31,$B$11=$Z$50,AW31,$B$11=$Z$99,BC31,$B$11=$Z$139,AQ31)</f>
        <v>2.1568630675483601E-2</v>
      </c>
      <c r="AL31" cm="1">
        <f t="array" ref="AL31">_xlfn.IFS($B$11=$Z$13,AF31,$B$11=$Z$50,AX31,$B$11=$Z$99,BD31,$B$11=$Z$139,AR31)</f>
        <v>1.2903435E-2</v>
      </c>
      <c r="AN31" t="e" cm="1">
        <f t="array" ref="AN31">IF($V$140=$V$142,_xlfn.IFS($X$100=$W$102,AB163,$X$100=$AI$102,AN163,$X$100=$AU$102,AZ163,$X$100=$BG$102,BL163,$X$100=$BS$102,BX163,$X$100=$CE$102,CJ163),_xlfn.IFS($X$100=$W$102,AB203,$X$100=$AI$102,AN203,$X$100=$AU$102,AZ203,$X$100=$BG$102,BL203,$X$100=$BS$102,BX203,$X$100=$CE$102,CJ203))</f>
        <v>#N/A</v>
      </c>
      <c r="AO31" t="e" cm="1">
        <f t="array" ref="AO31">IF($V$140=$V$142,_xlfn.IFS($X$100=$W$102,AC163,$X$100=$AI$102,AO163,$X$100=$AU$102,BA163,$X$100=$BG$102,BM163,$X$100=$BS$102,BY163,$X$100=$CE$102,CK163),_xlfn.IFS($X$100=$W$102,AC203,$X$100=$AI$102,AO203,$X$100=$AU$102,BA203,$X$100=$BG$102,BM203,$X$100=$BS$102,BY203,$X$100=$CE$102,CK203))</f>
        <v>#N/A</v>
      </c>
      <c r="AP31" t="e" cm="1">
        <f t="array" ref="AP31">IF($V$140=$V$142,_xlfn.IFS($X$100=$W$102,AD163,$X$100=$AI$102,AP163,$X$100=$AU$102,BB163,$X$100=$BG$102,BN163,$X$100=$BS$102,BZ163,$X$100=$CE$102,CL163),_xlfn.IFS($X$100=$W$102,AD203,$X$100=$AI$102,AP203,$X$100=$AU$102,BB203,$X$100=$BG$102,BN203,$X$100=$BS$102,BZ203,$X$100=$CE$102,CL203))</f>
        <v>#N/A</v>
      </c>
      <c r="AQ31" t="e" cm="1">
        <f t="array" ref="AQ31">IF($V$140=$V$142,_xlfn.IFS($X$100=$W$102,AE163,$X$100=$AI$102,AQ163,$X$100=$AU$102,BC163,$X$100=$BG$102,BO163,$X$100=$BS$102,CA163,$X$100=$CE$102,CM163),_xlfn.IFS($X$100=$W$102,AE203,$X$100=$AI$102,AQ203,$X$100=$AU$102,BC203,$X$100=$BG$102,BO203,$X$100=$BS$102,CA203,$X$100=$CE$102,CM203))</f>
        <v>#N/A</v>
      </c>
      <c r="AR31" t="e" cm="1">
        <f t="array" ref="AR31">IF($V$140=$V$142,_xlfn.IFS($X$100=$W$102,AF163,$X$100=$AI$102,AR163,$X$100=$AU$102,BD163,$X$100=$BG$102,BP163,$X$100=$BS$102,CB163,$X$100=$CE$102,CN163),_xlfn.IFS($X$100=$W$102,AF203,$X$100=$AI$102,AR203,$X$100=$AU$102,BD203,$X$100=$BG$102,BP203,$X$100=$BS$102,CB203,$X$100=$CE$102,CN203))</f>
        <v>#N/A</v>
      </c>
      <c r="AT31">
        <f t="shared" si="2"/>
        <v>2.946241007458314E-2</v>
      </c>
      <c r="AU31">
        <f t="shared" si="1"/>
        <v>2.7616490282187749E-2</v>
      </c>
      <c r="AV31">
        <f>IF($V$51=$Z$51,AP80,AD80)</f>
        <v>1.878179663298175E-2</v>
      </c>
      <c r="AW31">
        <f t="shared" si="1"/>
        <v>2.072041745364326E-2</v>
      </c>
      <c r="AX31">
        <f t="shared" si="1"/>
        <v>1.2194569286971321E-2</v>
      </c>
      <c r="AZ31" t="e" cm="1">
        <f t="array" ref="AZ31">_xlfn.IFS($X$100=$W$102,AB120,$X$100=$AI$102,AN120,$X$100=$AU$102,AZ120,$X$100=$BG$102,BL120,$X$100=$BS$102,BX120,$X$100=$CE$102,CJ120)</f>
        <v>#N/A</v>
      </c>
      <c r="BA31" t="e" cm="1">
        <f t="array" ref="BA31">_xlfn.IFS($X$100=$W$102,AC120,$X$100=$AI$102,AO120,$X$100=$AU$102,BA120,$X$100=$BG$102,BM120,$X$100=$BS$102,BY120,$X$100=$CE$102,CK120)</f>
        <v>#N/A</v>
      </c>
      <c r="BB31" t="e" cm="1">
        <f t="array" ref="BB31">_xlfn.IFS($X$100=$W$102,AD120,$X$100=$AI$102,AP120,$X$100=$AU$102,BB120,$X$100=$BG$102,BN120,$X$100=$BS$102,BZ120,$X$100=$CE$102,CL120)</f>
        <v>#N/A</v>
      </c>
      <c r="BC31" t="e" cm="1">
        <f t="array" ref="BC31">_xlfn.IFS($X$100=$W$102,AE120,$X$100=$AI$102,AQ120,$X$100=$AU$102,BC120,$X$100=$BG$102,BO120,$X$100=$BS$102,CA120,$X$100=$CE$102,CM120)</f>
        <v>#N/A</v>
      </c>
      <c r="BD31" t="e" cm="1">
        <f t="array" ref="BD31">_xlfn.IFS($X$100=$W$102,AF120,$X$100=$AI$102,AR120,$X$100=$AU$102,BD120,$X$100=$BG$102,BP120,$X$100=$BS$102,CB120,$X$100=$CE$102,CN120)</f>
        <v>#N/A</v>
      </c>
    </row>
    <row r="32" spans="1:56" x14ac:dyDescent="0.2">
      <c r="U32" s="86">
        <f t="shared" si="3"/>
        <v>20</v>
      </c>
      <c r="V32">
        <v>1</v>
      </c>
      <c r="W32">
        <v>1</v>
      </c>
      <c r="X32">
        <v>0.99999999999999989</v>
      </c>
      <c r="Y32">
        <v>1</v>
      </c>
      <c r="Z32">
        <v>1</v>
      </c>
      <c r="AA32" s="10">
        <f t="shared" si="4"/>
        <v>12</v>
      </c>
      <c r="AB32">
        <v>3.0453854362784499E-2</v>
      </c>
      <c r="AC32">
        <v>2.8727714751969328E-2</v>
      </c>
      <c r="AD32">
        <v>1.9993843143560772E-2</v>
      </c>
      <c r="AE32">
        <v>2.0188563578468419E-2</v>
      </c>
      <c r="AF32">
        <v>1.2468217E-2</v>
      </c>
      <c r="AH32" cm="1">
        <f t="array" ref="AH32">_xlfn.IFS($B$11=$Z$13,AB32,$B$11=$Z$50,AT32,$B$11=$Z$99,AZ32,$B$11=$Z$139,AN32)</f>
        <v>3.0453854362784499E-2</v>
      </c>
      <c r="AI32" cm="1">
        <f t="array" ref="AI32">_xlfn.IFS($B$11=$Z$13,AC32,$B$11=$Z$50,AU32,$B$11=$Z$99,BA32,$B$11=$Z$139,AO32)</f>
        <v>2.8727714751969328E-2</v>
      </c>
      <c r="AJ32" cm="1">
        <f t="array" ref="AJ32">_xlfn.IFS($B$11=$Z$13,AD32,$B$11=$Z$50,AV32,$B$11=$Z$99,BB32,$B$11=$Z$139,AP32)</f>
        <v>1.9993843143560772E-2</v>
      </c>
      <c r="AK32" cm="1">
        <f t="array" ref="AK32">_xlfn.IFS($B$11=$Z$13,AE32,$B$11=$Z$50,AW32,$B$11=$Z$99,BC32,$B$11=$Z$139,AQ32)</f>
        <v>2.0188563578468419E-2</v>
      </c>
      <c r="AL32" cm="1">
        <f t="array" ref="AL32">_xlfn.IFS($B$11=$Z$13,AF32,$B$11=$Z$50,AX32,$B$11=$Z$99,BD32,$B$11=$Z$139,AR32)</f>
        <v>1.2468217E-2</v>
      </c>
      <c r="AN32" t="e" cm="1">
        <f t="array" ref="AN32">IF($V$140=$V$142,_xlfn.IFS($X$100=$W$102,AB164,$X$100=$AI$102,AN164,$X$100=$AU$102,AZ164,$X$100=$BG$102,BL164,$X$100=$BS$102,BX164,$X$100=$CE$102,CJ164),_xlfn.IFS($X$100=$W$102,AB204,$X$100=$AI$102,AN204,$X$100=$AU$102,AZ204,$X$100=$BG$102,BL204,$X$100=$BS$102,BX204,$X$100=$CE$102,CJ204))</f>
        <v>#N/A</v>
      </c>
      <c r="AO32" t="e" cm="1">
        <f t="array" ref="AO32">IF($V$140=$V$142,_xlfn.IFS($X$100=$W$102,AC164,$X$100=$AI$102,AO164,$X$100=$AU$102,BA164,$X$100=$BG$102,BM164,$X$100=$BS$102,BY164,$X$100=$CE$102,CK164),_xlfn.IFS($X$100=$W$102,AC204,$X$100=$AI$102,AO204,$X$100=$AU$102,BA204,$X$100=$BG$102,BM204,$X$100=$BS$102,BY204,$X$100=$CE$102,CK204))</f>
        <v>#N/A</v>
      </c>
      <c r="AP32" t="e" cm="1">
        <f t="array" ref="AP32">IF($V$140=$V$142,_xlfn.IFS($X$100=$W$102,AD164,$X$100=$AI$102,AP164,$X$100=$AU$102,BB164,$X$100=$BG$102,BN164,$X$100=$BS$102,BZ164,$X$100=$CE$102,CL164),_xlfn.IFS($X$100=$W$102,AD204,$X$100=$AI$102,AP204,$X$100=$AU$102,BB204,$X$100=$BG$102,BN204,$X$100=$BS$102,BZ204,$X$100=$CE$102,CL204))</f>
        <v>#N/A</v>
      </c>
      <c r="AQ32" t="e" cm="1">
        <f t="array" ref="AQ32">IF($V$140=$V$142,_xlfn.IFS($X$100=$W$102,AE164,$X$100=$AI$102,AQ164,$X$100=$AU$102,BC164,$X$100=$BG$102,BO164,$X$100=$BS$102,CA164,$X$100=$CE$102,CM164),_xlfn.IFS($X$100=$W$102,AE204,$X$100=$AI$102,AQ204,$X$100=$AU$102,BC204,$X$100=$BG$102,BO204,$X$100=$BS$102,CA204,$X$100=$CE$102,CM204))</f>
        <v>#N/A</v>
      </c>
      <c r="AR32" t="e" cm="1">
        <f t="array" ref="AR32">IF($V$140=$V$142,_xlfn.IFS($X$100=$W$102,AF164,$X$100=$AI$102,AR164,$X$100=$AU$102,BD164,$X$100=$BG$102,BP164,$X$100=$BS$102,CB164,$X$100=$CE$102,CN164),_xlfn.IFS($X$100=$W$102,AF204,$X$100=$AI$102,AR204,$X$100=$AU$102,BD204,$X$100=$BG$102,BP204,$X$100=$BS$102,CB204,$X$100=$CE$102,CN204))</f>
        <v>#N/A</v>
      </c>
      <c r="AT32">
        <f t="shared" si="2"/>
        <v>2.9581326183195551E-2</v>
      </c>
      <c r="AU32">
        <f t="shared" ref="AU32:AU48" si="7">IF($V$51=$Z$51,AO81,AC81)</f>
        <v>2.680596148696698E-2</v>
      </c>
      <c r="AV32">
        <f t="shared" ref="AV32:AV48" si="8">IF($V$51=$Z$51,AP81,AD81)</f>
        <v>1.764242026213874E-2</v>
      </c>
      <c r="AW32">
        <f t="shared" ref="AW32:AW48" si="9">IF($V$51=$Z$51,AQ81,AE81)</f>
        <v>1.842914186398149E-2</v>
      </c>
      <c r="AX32">
        <f t="shared" ref="AX32:AX48" si="10">IF($V$51=$Z$51,AR81,AF81)</f>
        <v>1.254390673222989E-2</v>
      </c>
      <c r="AZ32" t="e" cm="1">
        <f t="array" ref="AZ32">_xlfn.IFS($X$100=$W$102,AB121,$X$100=$AI$102,AN121,$X$100=$AU$102,AZ121,$X$100=$BG$102,BL121,$X$100=$BS$102,BX121,$X$100=$CE$102,CJ121)</f>
        <v>#N/A</v>
      </c>
      <c r="BA32" t="e" cm="1">
        <f t="array" ref="BA32">_xlfn.IFS($X$100=$W$102,AC121,$X$100=$AI$102,AO121,$X$100=$AU$102,BA121,$X$100=$BG$102,BM121,$X$100=$BS$102,BY121,$X$100=$CE$102,CK121)</f>
        <v>#N/A</v>
      </c>
      <c r="BB32" t="e" cm="1">
        <f t="array" ref="BB32">_xlfn.IFS($X$100=$W$102,AD121,$X$100=$AI$102,AP121,$X$100=$AU$102,BB121,$X$100=$BG$102,BN121,$X$100=$BS$102,BZ121,$X$100=$CE$102,CL121)</f>
        <v>#N/A</v>
      </c>
      <c r="BC32" t="e" cm="1">
        <f t="array" ref="BC32">_xlfn.IFS($X$100=$W$102,AE121,$X$100=$AI$102,AQ121,$X$100=$AU$102,BC121,$X$100=$BG$102,BO121,$X$100=$BS$102,CA121,$X$100=$CE$102,CM121)</f>
        <v>#N/A</v>
      </c>
      <c r="BD32" t="e" cm="1">
        <f t="array" ref="BD32">_xlfn.IFS($X$100=$W$102,AF121,$X$100=$AI$102,AR121,$X$100=$AU$102,BD121,$X$100=$BG$102,BP121,$X$100=$BS$102,CB121,$X$100=$CE$102,CN121)</f>
        <v>#N/A</v>
      </c>
    </row>
    <row r="33" spans="1:56" ht="15" x14ac:dyDescent="0.25">
      <c r="A33" s="20" t="s">
        <v>135</v>
      </c>
      <c r="T33" s="72"/>
      <c r="U33" s="86">
        <f t="shared" si="3"/>
        <v>21</v>
      </c>
      <c r="AA33" s="10">
        <f t="shared" si="4"/>
        <v>12.5</v>
      </c>
      <c r="AB33">
        <v>2.8749407973354641E-2</v>
      </c>
      <c r="AC33">
        <v>2.660534623077955E-2</v>
      </c>
      <c r="AD33">
        <v>1.7857598866221819E-2</v>
      </c>
      <c r="AE33">
        <v>1.7407175349549778E-2</v>
      </c>
      <c r="AF33">
        <v>1.0188341E-2</v>
      </c>
      <c r="AH33" cm="1">
        <f t="array" ref="AH33">_xlfn.IFS($B$11=$Z$13,AB33,$B$11=$Z$50,AT33,$B$11=$Z$99,AZ33,$B$11=$Z$139,AN33)</f>
        <v>2.8749407973354641E-2</v>
      </c>
      <c r="AI33" cm="1">
        <f t="array" ref="AI33">_xlfn.IFS($B$11=$Z$13,AC33,$B$11=$Z$50,AU33,$B$11=$Z$99,BA33,$B$11=$Z$139,AO33)</f>
        <v>2.660534623077955E-2</v>
      </c>
      <c r="AJ33" cm="1">
        <f t="array" ref="AJ33">_xlfn.IFS($B$11=$Z$13,AD33,$B$11=$Z$50,AV33,$B$11=$Z$99,BB33,$B$11=$Z$139,AP33)</f>
        <v>1.7857598866221819E-2</v>
      </c>
      <c r="AK33" cm="1">
        <f t="array" ref="AK33">_xlfn.IFS($B$11=$Z$13,AE33,$B$11=$Z$50,AW33,$B$11=$Z$99,BC33,$B$11=$Z$139,AQ33)</f>
        <v>1.7407175349549778E-2</v>
      </c>
      <c r="AL33" cm="1">
        <f t="array" ref="AL33">_xlfn.IFS($B$11=$Z$13,AF33,$B$11=$Z$50,AX33,$B$11=$Z$99,BD33,$B$11=$Z$139,AR33)</f>
        <v>1.0188341E-2</v>
      </c>
      <c r="AN33" t="e" cm="1">
        <f t="array" ref="AN33">IF($V$140=$V$142,_xlfn.IFS($X$100=$W$102,AB165,$X$100=$AI$102,AN165,$X$100=$AU$102,AZ165,$X$100=$BG$102,BL165,$X$100=$BS$102,BX165,$X$100=$CE$102,CJ165),_xlfn.IFS($X$100=$W$102,AB205,$X$100=$AI$102,AN205,$X$100=$AU$102,AZ205,$X$100=$BG$102,BL205,$X$100=$BS$102,BX205,$X$100=$CE$102,CJ205))</f>
        <v>#N/A</v>
      </c>
      <c r="AO33" t="e" cm="1">
        <f t="array" ref="AO33">IF($V$140=$V$142,_xlfn.IFS($X$100=$W$102,AC165,$X$100=$AI$102,AO165,$X$100=$AU$102,BA165,$X$100=$BG$102,BM165,$X$100=$BS$102,BY165,$X$100=$CE$102,CK165),_xlfn.IFS($X$100=$W$102,AC205,$X$100=$AI$102,AO205,$X$100=$AU$102,BA205,$X$100=$BG$102,BM205,$X$100=$BS$102,BY205,$X$100=$CE$102,CK205))</f>
        <v>#N/A</v>
      </c>
      <c r="AP33" t="e" cm="1">
        <f t="array" ref="AP33">IF($V$140=$V$142,_xlfn.IFS($X$100=$W$102,AD165,$X$100=$AI$102,AP165,$X$100=$AU$102,BB165,$X$100=$BG$102,BN165,$X$100=$BS$102,BZ165,$X$100=$CE$102,CL165),_xlfn.IFS($X$100=$W$102,AD205,$X$100=$AI$102,AP205,$X$100=$AU$102,BB205,$X$100=$BG$102,BN205,$X$100=$BS$102,BZ205,$X$100=$CE$102,CL205))</f>
        <v>#N/A</v>
      </c>
      <c r="AQ33" t="e" cm="1">
        <f t="array" ref="AQ33">IF($V$140=$V$142,_xlfn.IFS($X$100=$W$102,AE165,$X$100=$AI$102,AQ165,$X$100=$AU$102,BC165,$X$100=$BG$102,BO165,$X$100=$BS$102,CA165,$X$100=$CE$102,CM165),_xlfn.IFS($X$100=$W$102,AE205,$X$100=$AI$102,AQ205,$X$100=$AU$102,BC205,$X$100=$BG$102,BO205,$X$100=$BS$102,CA205,$X$100=$CE$102,CM205))</f>
        <v>#N/A</v>
      </c>
      <c r="AR33" t="e" cm="1">
        <f t="array" ref="AR33">IF($V$140=$V$142,_xlfn.IFS($X$100=$W$102,AF165,$X$100=$AI$102,AR165,$X$100=$AU$102,BD165,$X$100=$BG$102,BP165,$X$100=$BS$102,CB165,$X$100=$CE$102,CN165),_xlfn.IFS($X$100=$W$102,AF205,$X$100=$AI$102,AR205,$X$100=$AU$102,BD205,$X$100=$BG$102,BP205,$X$100=$BS$102,CB205,$X$100=$CE$102,CN205))</f>
        <v>#N/A</v>
      </c>
      <c r="AT33">
        <f t="shared" si="2"/>
        <v>2.8608764889303979E-2</v>
      </c>
      <c r="AU33">
        <f t="shared" si="7"/>
        <v>2.5053205565819189E-2</v>
      </c>
      <c r="AV33">
        <f t="shared" si="8"/>
        <v>1.571703011569903E-2</v>
      </c>
      <c r="AW33">
        <f t="shared" si="9"/>
        <v>1.5817404358810929E-2</v>
      </c>
      <c r="AX33">
        <f t="shared" si="10"/>
        <v>1.0887825917107369E-2</v>
      </c>
      <c r="AZ33" t="e" cm="1">
        <f t="array" ref="AZ33">_xlfn.IFS($X$100=$W$102,AB122,$X$100=$AI$102,AN122,$X$100=$AU$102,AZ122,$X$100=$BG$102,BL122,$X$100=$BS$102,BX122,$X$100=$CE$102,CJ122)</f>
        <v>#N/A</v>
      </c>
      <c r="BA33" t="e" cm="1">
        <f t="array" ref="BA33">_xlfn.IFS($X$100=$W$102,AC122,$X$100=$AI$102,AO122,$X$100=$AU$102,BA122,$X$100=$BG$102,BM122,$X$100=$BS$102,BY122,$X$100=$CE$102,CK122)</f>
        <v>#N/A</v>
      </c>
      <c r="BB33" t="e" cm="1">
        <f t="array" ref="BB33">_xlfn.IFS($X$100=$W$102,AD122,$X$100=$AI$102,AP122,$X$100=$AU$102,BB122,$X$100=$BG$102,BN122,$X$100=$BS$102,BZ122,$X$100=$CE$102,CL122)</f>
        <v>#N/A</v>
      </c>
      <c r="BC33" t="e" cm="1">
        <f t="array" ref="BC33">_xlfn.IFS($X$100=$W$102,AE122,$X$100=$AI$102,AQ122,$X$100=$AU$102,BC122,$X$100=$BG$102,BO122,$X$100=$BS$102,CA122,$X$100=$CE$102,CM122)</f>
        <v>#N/A</v>
      </c>
      <c r="BD33" t="e" cm="1">
        <f t="array" ref="BD33">_xlfn.IFS($X$100=$W$102,AF122,$X$100=$AI$102,AR122,$X$100=$AU$102,BD122,$X$100=$BG$102,BP122,$X$100=$BS$102,CB122,$X$100=$CE$102,CN122)</f>
        <v>#N/A</v>
      </c>
    </row>
    <row r="34" spans="1:56" ht="12.75" hidden="1" customHeight="1" x14ac:dyDescent="0.2">
      <c r="A34" s="4" t="s">
        <v>136</v>
      </c>
      <c r="I34" s="22"/>
      <c r="J34" s="22"/>
      <c r="K34" s="22"/>
      <c r="L34" s="22"/>
      <c r="M34" s="22"/>
      <c r="O34" s="22"/>
      <c r="P34" s="22"/>
      <c r="Q34" s="22"/>
      <c r="R34" s="22"/>
      <c r="S34" s="22"/>
      <c r="U34" s="86">
        <f t="shared" si="3"/>
        <v>22</v>
      </c>
      <c r="AA34" s="10">
        <f t="shared" si="4"/>
        <v>13</v>
      </c>
      <c r="AB34">
        <v>2.6585877630867751E-2</v>
      </c>
      <c r="AC34">
        <v>2.372482301779796E-2</v>
      </c>
      <c r="AD34">
        <v>1.530930554453511E-2</v>
      </c>
      <c r="AE34">
        <v>1.4479359282628111E-2</v>
      </c>
      <c r="AF34">
        <v>7.7655140000000003E-3</v>
      </c>
      <c r="AH34" cm="1">
        <f t="array" ref="AH34">_xlfn.IFS($B$11=$Z$13,AB34,$B$11=$Z$50,AT34,$B$11=$Z$99,AZ34,$B$11=$Z$139,AN34)</f>
        <v>2.6585877630867751E-2</v>
      </c>
      <c r="AI34" cm="1">
        <f t="array" ref="AI34">_xlfn.IFS($B$11=$Z$13,AC34,$B$11=$Z$50,AU34,$B$11=$Z$99,BA34,$B$11=$Z$139,AO34)</f>
        <v>2.372482301779796E-2</v>
      </c>
      <c r="AJ34" cm="1">
        <f t="array" ref="AJ34">_xlfn.IFS($B$11=$Z$13,AD34,$B$11=$Z$50,AV34,$B$11=$Z$99,BB34,$B$11=$Z$139,AP34)</f>
        <v>1.530930554453511E-2</v>
      </c>
      <c r="AK34" cm="1">
        <f t="array" ref="AK34">_xlfn.IFS($B$11=$Z$13,AE34,$B$11=$Z$50,AW34,$B$11=$Z$99,BC34,$B$11=$Z$139,AQ34)</f>
        <v>1.4479359282628111E-2</v>
      </c>
      <c r="AL34" cm="1">
        <f t="array" ref="AL34">_xlfn.IFS($B$11=$Z$13,AF34,$B$11=$Z$50,AX34,$B$11=$Z$99,BD34,$B$11=$Z$139,AR34)</f>
        <v>7.7655140000000003E-3</v>
      </c>
      <c r="AN34" t="e" cm="1">
        <f t="array" ref="AN34">IF($V$140=$V$142,_xlfn.IFS($X$100=$W$102,AB166,$X$100=$AI$102,AN166,$X$100=$AU$102,AZ166,$X$100=$BG$102,BL166,$X$100=$BS$102,BX166,$X$100=$CE$102,CJ166),_xlfn.IFS($X$100=$W$102,AB206,$X$100=$AI$102,AN206,$X$100=$AU$102,AZ206,$X$100=$BG$102,BL206,$X$100=$BS$102,BX206,$X$100=$CE$102,CJ206))</f>
        <v>#N/A</v>
      </c>
      <c r="AO34" t="e" cm="1">
        <f t="array" ref="AO34">IF($V$140=$V$142,_xlfn.IFS($X$100=$W$102,AC166,$X$100=$AI$102,AO166,$X$100=$AU$102,BA166,$X$100=$BG$102,BM166,$X$100=$BS$102,BY166,$X$100=$CE$102,CK166),_xlfn.IFS($X$100=$W$102,AC206,$X$100=$AI$102,AO206,$X$100=$AU$102,BA206,$X$100=$BG$102,BM206,$X$100=$BS$102,BY206,$X$100=$CE$102,CK206))</f>
        <v>#N/A</v>
      </c>
      <c r="AP34" t="e" cm="1">
        <f t="array" ref="AP34">IF($V$140=$V$142,_xlfn.IFS($X$100=$W$102,AD166,$X$100=$AI$102,AP166,$X$100=$AU$102,BB166,$X$100=$BG$102,BN166,$X$100=$BS$102,BZ166,$X$100=$CE$102,CL166),_xlfn.IFS($X$100=$W$102,AD206,$X$100=$AI$102,AP206,$X$100=$AU$102,BB206,$X$100=$BG$102,BN206,$X$100=$BS$102,BZ206,$X$100=$CE$102,CL206))</f>
        <v>#N/A</v>
      </c>
      <c r="AQ34" t="e" cm="1">
        <f t="array" ref="AQ34">IF($V$140=$V$142,_xlfn.IFS($X$100=$W$102,AE166,$X$100=$AI$102,AQ166,$X$100=$AU$102,BC166,$X$100=$BG$102,BO166,$X$100=$BS$102,CA166,$X$100=$CE$102,CM166),_xlfn.IFS($X$100=$W$102,AE206,$X$100=$AI$102,AQ206,$X$100=$AU$102,BC206,$X$100=$BG$102,BO206,$X$100=$BS$102,CA206,$X$100=$CE$102,CM206))</f>
        <v>#N/A</v>
      </c>
      <c r="AR34" t="e" cm="1">
        <f t="array" ref="AR34">IF($V$140=$V$142,_xlfn.IFS($X$100=$W$102,AF166,$X$100=$AI$102,AR166,$X$100=$AU$102,BD166,$X$100=$BG$102,BP166,$X$100=$BS$102,CB166,$X$100=$CE$102,CN166),_xlfn.IFS($X$100=$W$102,AF206,$X$100=$AI$102,AR206,$X$100=$AU$102,BD206,$X$100=$BG$102,BP206,$X$100=$BS$102,CB206,$X$100=$CE$102,CN206))</f>
        <v>#N/A</v>
      </c>
      <c r="AT34">
        <f t="shared" si="2"/>
        <v>2.7039045085897429E-2</v>
      </c>
      <c r="AU34">
        <f t="shared" si="7"/>
        <v>2.285272486708146E-2</v>
      </c>
      <c r="AV34">
        <f t="shared" si="8"/>
        <v>1.3481370528294611E-2</v>
      </c>
      <c r="AW34">
        <f t="shared" si="9"/>
        <v>1.345930694166405E-2</v>
      </c>
      <c r="AX34">
        <f t="shared" si="10"/>
        <v>8.6544295029500288E-3</v>
      </c>
      <c r="AZ34" t="e" cm="1">
        <f t="array" ref="AZ34">_xlfn.IFS($X$100=$W$102,AB123,$X$100=$AI$102,AN123,$X$100=$AU$102,AZ123,$X$100=$BG$102,BL123,$X$100=$BS$102,BX123,$X$100=$CE$102,CJ123)</f>
        <v>#N/A</v>
      </c>
      <c r="BA34" t="e" cm="1">
        <f t="array" ref="BA34">_xlfn.IFS($X$100=$W$102,AC123,$X$100=$AI$102,AO123,$X$100=$AU$102,BA123,$X$100=$BG$102,BM123,$X$100=$BS$102,BY123,$X$100=$CE$102,CK123)</f>
        <v>#N/A</v>
      </c>
      <c r="BB34" t="e" cm="1">
        <f t="array" ref="BB34">_xlfn.IFS($X$100=$W$102,AD123,$X$100=$AI$102,AP123,$X$100=$AU$102,BB123,$X$100=$BG$102,BN123,$X$100=$BS$102,BZ123,$X$100=$CE$102,CL123)</f>
        <v>#N/A</v>
      </c>
      <c r="BC34" t="e" cm="1">
        <f t="array" ref="BC34">_xlfn.IFS($X$100=$W$102,AE123,$X$100=$AI$102,AQ123,$X$100=$AU$102,BC123,$X$100=$BG$102,BO123,$X$100=$BS$102,CA123,$X$100=$CE$102,CM123)</f>
        <v>#N/A</v>
      </c>
      <c r="BD34" t="e" cm="1">
        <f t="array" ref="BD34">_xlfn.IFS($X$100=$W$102,AF123,$X$100=$AI$102,AR123,$X$100=$AU$102,BD123,$X$100=$BG$102,BP123,$X$100=$BS$102,CB123,$X$100=$CE$102,CN123)</f>
        <v>#N/A</v>
      </c>
    </row>
    <row r="35" spans="1:56" ht="12.75" hidden="1" customHeight="1" x14ac:dyDescent="0.2">
      <c r="A35" s="4" t="s">
        <v>58</v>
      </c>
      <c r="C35" s="9"/>
      <c r="D35" s="9"/>
      <c r="E35" s="9"/>
      <c r="F35" s="9"/>
      <c r="G35" s="9"/>
      <c r="I35" s="22"/>
      <c r="J35" s="22"/>
      <c r="K35" s="22"/>
      <c r="L35" s="22"/>
      <c r="M35" s="22"/>
      <c r="O35" s="22"/>
      <c r="P35" s="22"/>
      <c r="Q35" s="22"/>
      <c r="R35" s="22"/>
      <c r="S35" s="22"/>
      <c r="U35" s="86">
        <f t="shared" si="3"/>
        <v>23</v>
      </c>
      <c r="AA35" s="10">
        <f t="shared" si="4"/>
        <v>13.5</v>
      </c>
      <c r="AB35">
        <v>2.4118514811060351E-2</v>
      </c>
      <c r="AC35">
        <v>2.0552364690545971E-2</v>
      </c>
      <c r="AD35">
        <v>1.280194721130053E-2</v>
      </c>
      <c r="AE35">
        <v>1.1876421382495089E-2</v>
      </c>
      <c r="AF35">
        <v>5.9203440000000001E-3</v>
      </c>
      <c r="AH35" cm="1">
        <f t="array" ref="AH35">_xlfn.IFS($B$11=$Z$13,AB35,$B$11=$Z$50,AT35,$B$11=$Z$99,AZ35,$B$11=$Z$139,AN35)</f>
        <v>2.4118514811060351E-2</v>
      </c>
      <c r="AI35" cm="1">
        <f t="array" ref="AI35">_xlfn.IFS($B$11=$Z$13,AC35,$B$11=$Z$50,AU35,$B$11=$Z$99,BA35,$B$11=$Z$139,AO35)</f>
        <v>2.0552364690545971E-2</v>
      </c>
      <c r="AJ35" cm="1">
        <f t="array" ref="AJ35">_xlfn.IFS($B$11=$Z$13,AD35,$B$11=$Z$50,AV35,$B$11=$Z$99,BB35,$B$11=$Z$139,AP35)</f>
        <v>1.280194721130053E-2</v>
      </c>
      <c r="AK35" cm="1">
        <f t="array" ref="AK35">_xlfn.IFS($B$11=$Z$13,AE35,$B$11=$Z$50,AW35,$B$11=$Z$99,BC35,$B$11=$Z$139,AQ35)</f>
        <v>1.1876421382495089E-2</v>
      </c>
      <c r="AL35" cm="1">
        <f t="array" ref="AL35">_xlfn.IFS($B$11=$Z$13,AF35,$B$11=$Z$50,AX35,$B$11=$Z$99,BD35,$B$11=$Z$139,AR35)</f>
        <v>5.9203440000000001E-3</v>
      </c>
      <c r="AN35" t="e" cm="1">
        <f t="array" ref="AN35">IF($V$140=$V$142,_xlfn.IFS($X$100=$W$102,AB167,$X$100=$AI$102,AN167,$X$100=$AU$102,AZ167,$X$100=$BG$102,BL167,$X$100=$BS$102,BX167,$X$100=$CE$102,CJ167),_xlfn.IFS($X$100=$W$102,AB207,$X$100=$AI$102,AN207,$X$100=$AU$102,AZ207,$X$100=$BG$102,BL207,$X$100=$BS$102,BX207,$X$100=$CE$102,CJ207))</f>
        <v>#N/A</v>
      </c>
      <c r="AO35" t="e" cm="1">
        <f t="array" ref="AO35">IF($V$140=$V$142,_xlfn.IFS($X$100=$W$102,AC167,$X$100=$AI$102,AO167,$X$100=$AU$102,BA167,$X$100=$BG$102,BM167,$X$100=$BS$102,BY167,$X$100=$CE$102,CK167),_xlfn.IFS($X$100=$W$102,AC207,$X$100=$AI$102,AO207,$X$100=$AU$102,BA207,$X$100=$BG$102,BM207,$X$100=$BS$102,BY207,$X$100=$CE$102,CK207))</f>
        <v>#N/A</v>
      </c>
      <c r="AP35" t="e" cm="1">
        <f t="array" ref="AP35">IF($V$140=$V$142,_xlfn.IFS($X$100=$W$102,AD167,$X$100=$AI$102,AP167,$X$100=$AU$102,BB167,$X$100=$BG$102,BN167,$X$100=$BS$102,BZ167,$X$100=$CE$102,CL167),_xlfn.IFS($X$100=$W$102,AD207,$X$100=$AI$102,AP207,$X$100=$AU$102,BB207,$X$100=$BG$102,BN207,$X$100=$BS$102,BZ207,$X$100=$CE$102,CL207))</f>
        <v>#N/A</v>
      </c>
      <c r="AQ35" t="e" cm="1">
        <f t="array" ref="AQ35">IF($V$140=$V$142,_xlfn.IFS($X$100=$W$102,AE167,$X$100=$AI$102,AQ167,$X$100=$AU$102,BC167,$X$100=$BG$102,BO167,$X$100=$BS$102,CA167,$X$100=$CE$102,CM167),_xlfn.IFS($X$100=$W$102,AE207,$X$100=$AI$102,AQ207,$X$100=$AU$102,BC207,$X$100=$BG$102,BO207,$X$100=$BS$102,CA207,$X$100=$CE$102,CM207))</f>
        <v>#N/A</v>
      </c>
      <c r="AR35" t="e" cm="1">
        <f t="array" ref="AR35">IF($V$140=$V$142,_xlfn.IFS($X$100=$W$102,AF167,$X$100=$AI$102,AR167,$X$100=$AU$102,BD167,$X$100=$BG$102,BP167,$X$100=$BS$102,CB167,$X$100=$CE$102,CN167),_xlfn.IFS($X$100=$W$102,AF207,$X$100=$AI$102,AR207,$X$100=$AU$102,BD207,$X$100=$BG$102,BP207,$X$100=$BS$102,CB207,$X$100=$CE$102,CN207))</f>
        <v>#N/A</v>
      </c>
      <c r="AT35">
        <f t="shared" si="2"/>
        <v>2.4933940982359661E-2</v>
      </c>
      <c r="AU35">
        <f t="shared" si="7"/>
        <v>2.0372029225823231E-2</v>
      </c>
      <c r="AV35">
        <f t="shared" si="8"/>
        <v>1.12036315776868E-2</v>
      </c>
      <c r="AW35">
        <f t="shared" si="9"/>
        <v>1.1502315921601201E-2</v>
      </c>
      <c r="AX35">
        <f t="shared" si="10"/>
        <v>6.4240337582934627E-3</v>
      </c>
      <c r="AZ35" t="e" cm="1">
        <f t="array" ref="AZ35">_xlfn.IFS($X$100=$W$102,AB124,$X$100=$AI$102,AN124,$X$100=$AU$102,AZ124,$X$100=$BG$102,BL124,$X$100=$BS$102,BX124,$X$100=$CE$102,CJ124)</f>
        <v>#N/A</v>
      </c>
      <c r="BA35" t="e" cm="1">
        <f t="array" ref="BA35">_xlfn.IFS($X$100=$W$102,AC124,$X$100=$AI$102,AO124,$X$100=$AU$102,BA124,$X$100=$BG$102,BM124,$X$100=$BS$102,BY124,$X$100=$CE$102,CK124)</f>
        <v>#N/A</v>
      </c>
      <c r="BB35" t="e" cm="1">
        <f t="array" ref="BB35">_xlfn.IFS($X$100=$W$102,AD124,$X$100=$AI$102,AP124,$X$100=$AU$102,BB124,$X$100=$BG$102,BN124,$X$100=$BS$102,BZ124,$X$100=$CE$102,CL124)</f>
        <v>#N/A</v>
      </c>
      <c r="BC35" t="e" cm="1">
        <f t="array" ref="BC35">_xlfn.IFS($X$100=$W$102,AE124,$X$100=$AI$102,AQ124,$X$100=$AU$102,BC124,$X$100=$BG$102,BO124,$X$100=$BS$102,CA124,$X$100=$CE$102,CM124)</f>
        <v>#N/A</v>
      </c>
      <c r="BD35" t="e" cm="1">
        <f t="array" ref="BD35">_xlfn.IFS($X$100=$W$102,AF124,$X$100=$AI$102,AR124,$X$100=$AU$102,BD124,$X$100=$BG$102,BP124,$X$100=$BS$102,CB124,$X$100=$CE$102,CN124)</f>
        <v>#N/A</v>
      </c>
    </row>
    <row r="36" spans="1:56" x14ac:dyDescent="0.2">
      <c r="U36" s="86">
        <f t="shared" si="3"/>
        <v>24</v>
      </c>
      <c r="AA36" s="10">
        <f t="shared" si="4"/>
        <v>14</v>
      </c>
      <c r="AB36">
        <v>2.1556410232797831E-2</v>
      </c>
      <c r="AC36">
        <v>1.7762466459842779E-2</v>
      </c>
      <c r="AD36">
        <v>1.0731844123397741E-2</v>
      </c>
      <c r="AE36">
        <v>1.00079884836194E-2</v>
      </c>
      <c r="AF36">
        <v>4.9311759999999998E-3</v>
      </c>
      <c r="AH36" cm="1">
        <f t="array" ref="AH36">_xlfn.IFS($B$11=$Z$13,AB36,$B$11=$Z$50,AT36,$B$11=$Z$99,AZ36,$B$11=$Z$139,AN36)</f>
        <v>2.1556410232797831E-2</v>
      </c>
      <c r="AI36" cm="1">
        <f t="array" ref="AI36">_xlfn.IFS($B$11=$Z$13,AC36,$B$11=$Z$50,AU36,$B$11=$Z$99,BA36,$B$11=$Z$139,AO36)</f>
        <v>1.7762466459842779E-2</v>
      </c>
      <c r="AJ36" cm="1">
        <f t="array" ref="AJ36">_xlfn.IFS($B$11=$Z$13,AD36,$B$11=$Z$50,AV36,$B$11=$Z$99,BB36,$B$11=$Z$139,AP36)</f>
        <v>1.0731844123397741E-2</v>
      </c>
      <c r="AK36" cm="1">
        <f t="array" ref="AK36">_xlfn.IFS($B$11=$Z$13,AE36,$B$11=$Z$50,AW36,$B$11=$Z$99,BC36,$B$11=$Z$139,AQ36)</f>
        <v>1.00079884836194E-2</v>
      </c>
      <c r="AL36" cm="1">
        <f t="array" ref="AL36">_xlfn.IFS($B$11=$Z$13,AF36,$B$11=$Z$50,AX36,$B$11=$Z$99,BD36,$B$11=$Z$139,AR36)</f>
        <v>4.9311759999999998E-3</v>
      </c>
      <c r="AN36" t="e" cm="1">
        <f t="array" ref="AN36">IF($V$140=$V$142,_xlfn.IFS($X$100=$W$102,AB168,$X$100=$AI$102,AN168,$X$100=$AU$102,AZ168,$X$100=$BG$102,BL168,$X$100=$BS$102,BX168,$X$100=$CE$102,CJ168),_xlfn.IFS($X$100=$W$102,AB208,$X$100=$AI$102,AN208,$X$100=$AU$102,AZ208,$X$100=$BG$102,BL208,$X$100=$BS$102,BX208,$X$100=$CE$102,CJ208))</f>
        <v>#N/A</v>
      </c>
      <c r="AO36" t="e" cm="1">
        <f t="array" ref="AO36">IF($V$140=$V$142,_xlfn.IFS($X$100=$W$102,AC168,$X$100=$AI$102,AO168,$X$100=$AU$102,BA168,$X$100=$BG$102,BM168,$X$100=$BS$102,BY168,$X$100=$CE$102,CK168),_xlfn.IFS($X$100=$W$102,AC208,$X$100=$AI$102,AO208,$X$100=$AU$102,BA208,$X$100=$BG$102,BM208,$X$100=$BS$102,BY208,$X$100=$CE$102,CK208))</f>
        <v>#N/A</v>
      </c>
      <c r="AP36" t="e" cm="1">
        <f t="array" ref="AP36">IF($V$140=$V$142,_xlfn.IFS($X$100=$W$102,AD168,$X$100=$AI$102,AP168,$X$100=$AU$102,BB168,$X$100=$BG$102,BN168,$X$100=$BS$102,BZ168,$X$100=$CE$102,CL168),_xlfn.IFS($X$100=$W$102,AD208,$X$100=$AI$102,AP208,$X$100=$AU$102,BB208,$X$100=$BG$102,BN208,$X$100=$BS$102,BZ208,$X$100=$CE$102,CL208))</f>
        <v>#N/A</v>
      </c>
      <c r="AQ36" t="e" cm="1">
        <f t="array" ref="AQ36">IF($V$140=$V$142,_xlfn.IFS($X$100=$W$102,AE168,$X$100=$AI$102,AQ168,$X$100=$AU$102,BC168,$X$100=$BG$102,BO168,$X$100=$BS$102,CA168,$X$100=$CE$102,CM168),_xlfn.IFS($X$100=$W$102,AE208,$X$100=$AI$102,AQ208,$X$100=$AU$102,BC208,$X$100=$BG$102,BO208,$X$100=$BS$102,CA208,$X$100=$CE$102,CM208))</f>
        <v>#N/A</v>
      </c>
      <c r="AR36" t="e" cm="1">
        <f t="array" ref="AR36">IF($V$140=$V$142,_xlfn.IFS($X$100=$W$102,AF168,$X$100=$AI$102,AR168,$X$100=$AU$102,BD168,$X$100=$BG$102,BP168,$X$100=$BS$102,CB168,$X$100=$CE$102,CN168),_xlfn.IFS($X$100=$W$102,AF208,$X$100=$AI$102,AR208,$X$100=$AU$102,BD208,$X$100=$BG$102,BP208,$X$100=$BS$102,CB208,$X$100=$CE$102,CN208))</f>
        <v>#N/A</v>
      </c>
      <c r="AT36">
        <f t="shared" si="2"/>
        <v>2.2430447493440871E-2</v>
      </c>
      <c r="AU36">
        <f t="shared" si="7"/>
        <v>1.8222660637070679E-2</v>
      </c>
      <c r="AV36">
        <f t="shared" si="8"/>
        <v>9.2523638956464281E-3</v>
      </c>
      <c r="AW36">
        <f t="shared" si="9"/>
        <v>1.033699616747579E-2</v>
      </c>
      <c r="AX36">
        <f t="shared" si="10"/>
        <v>4.5922447075137478E-3</v>
      </c>
      <c r="AZ36" t="e" cm="1">
        <f t="array" ref="AZ36">_xlfn.IFS($X$100=$W$102,AB125,$X$100=$AI$102,AN125,$X$100=$AU$102,AZ125,$X$100=$BG$102,BL125,$X$100=$BS$102,BX125,$X$100=$CE$102,CJ125)</f>
        <v>#N/A</v>
      </c>
      <c r="BA36" t="e" cm="1">
        <f t="array" ref="BA36">_xlfn.IFS($X$100=$W$102,AC125,$X$100=$AI$102,AO125,$X$100=$AU$102,BA125,$X$100=$BG$102,BM125,$X$100=$BS$102,BY125,$X$100=$CE$102,CK125)</f>
        <v>#N/A</v>
      </c>
      <c r="BB36" t="e" cm="1">
        <f t="array" ref="BB36">_xlfn.IFS($X$100=$W$102,AD125,$X$100=$AI$102,AP125,$X$100=$AU$102,BB125,$X$100=$BG$102,BN125,$X$100=$BS$102,BZ125,$X$100=$CE$102,CL125)</f>
        <v>#N/A</v>
      </c>
      <c r="BC36" t="e" cm="1">
        <f t="array" ref="BC36">_xlfn.IFS($X$100=$W$102,AE125,$X$100=$AI$102,AQ125,$X$100=$AU$102,BC125,$X$100=$BG$102,BO125,$X$100=$BS$102,CA125,$X$100=$CE$102,CM125)</f>
        <v>#N/A</v>
      </c>
      <c r="BD36" t="e" cm="1">
        <f t="array" ref="BD36">_xlfn.IFS($X$100=$W$102,AF125,$X$100=$AI$102,AR125,$X$100=$AU$102,BD125,$X$100=$BG$102,BP125,$X$100=$BS$102,CB125,$X$100=$CE$102,CN125)</f>
        <v>#N/A</v>
      </c>
    </row>
    <row r="37" spans="1:56" x14ac:dyDescent="0.2">
      <c r="A37" s="11" t="s">
        <v>14</v>
      </c>
      <c r="B37" s="12"/>
      <c r="C37" s="12"/>
      <c r="D37" s="12"/>
      <c r="E37" s="12"/>
      <c r="F37" s="12"/>
      <c r="G37" s="12"/>
      <c r="H37" s="12"/>
      <c r="I37" s="11"/>
      <c r="J37" s="12"/>
      <c r="K37" s="12"/>
      <c r="L37" s="12"/>
      <c r="M37" s="12"/>
      <c r="N37" s="12"/>
      <c r="O37" s="11"/>
      <c r="P37" s="12"/>
      <c r="Q37" s="12"/>
      <c r="R37" s="12"/>
      <c r="S37" s="12"/>
      <c r="U37" s="86">
        <f t="shared" si="3"/>
        <v>25</v>
      </c>
      <c r="AA37" s="10">
        <f t="shared" si="4"/>
        <v>14.5</v>
      </c>
      <c r="AB37">
        <v>1.9365182984565101E-2</v>
      </c>
      <c r="AC37">
        <v>1.611351535549797E-2</v>
      </c>
      <c r="AD37">
        <v>9.5411201013413972E-3</v>
      </c>
      <c r="AE37">
        <v>9.0654055128411414E-3</v>
      </c>
      <c r="AF37">
        <v>4.6377609999999998E-3</v>
      </c>
      <c r="AH37" cm="1">
        <f t="array" ref="AH37">_xlfn.IFS($B$11=$Z$13,AB37,$B$11=$Z$50,AT37,$B$11=$Z$99,AZ37,$B$11=$Z$139,AN37)</f>
        <v>1.9365182984565101E-2</v>
      </c>
      <c r="AI37" cm="1">
        <f t="array" ref="AI37">_xlfn.IFS($B$11=$Z$13,AC37,$B$11=$Z$50,AU37,$B$11=$Z$99,BA37,$B$11=$Z$139,AO37)</f>
        <v>1.611351535549797E-2</v>
      </c>
      <c r="AJ37" cm="1">
        <f t="array" ref="AJ37">_xlfn.IFS($B$11=$Z$13,AD37,$B$11=$Z$50,AV37,$B$11=$Z$99,BB37,$B$11=$Z$139,AP37)</f>
        <v>9.5411201013413972E-3</v>
      </c>
      <c r="AK37" cm="1">
        <f t="array" ref="AK37">_xlfn.IFS($B$11=$Z$13,AE37,$B$11=$Z$50,AW37,$B$11=$Z$99,BC37,$B$11=$Z$139,AQ37)</f>
        <v>9.0654055128411414E-3</v>
      </c>
      <c r="AL37" cm="1">
        <f t="array" ref="AL37">_xlfn.IFS($B$11=$Z$13,AF37,$B$11=$Z$50,AX37,$B$11=$Z$99,BD37,$B$11=$Z$139,AR37)</f>
        <v>4.6377609999999998E-3</v>
      </c>
      <c r="AN37" t="e" cm="1">
        <f t="array" ref="AN37">IF($V$140=$V$142,_xlfn.IFS($X$100=$W$102,AB169,$X$100=$AI$102,AN169,$X$100=$AU$102,AZ169,$X$100=$BG$102,BL169,$X$100=$BS$102,BX169,$X$100=$CE$102,CJ169),_xlfn.IFS($X$100=$W$102,AB209,$X$100=$AI$102,AN209,$X$100=$AU$102,AZ209,$X$100=$BG$102,BL209,$X$100=$BS$102,BX209,$X$100=$CE$102,CJ209))</f>
        <v>#N/A</v>
      </c>
      <c r="AO37" t="e" cm="1">
        <f t="array" ref="AO37">IF($V$140=$V$142,_xlfn.IFS($X$100=$W$102,AC169,$X$100=$AI$102,AO169,$X$100=$AU$102,BA169,$X$100=$BG$102,BM169,$X$100=$BS$102,BY169,$X$100=$CE$102,CK169),_xlfn.IFS($X$100=$W$102,AC209,$X$100=$AI$102,AO209,$X$100=$AU$102,BA209,$X$100=$BG$102,BM209,$X$100=$BS$102,BY209,$X$100=$CE$102,CK209))</f>
        <v>#N/A</v>
      </c>
      <c r="AP37" t="e" cm="1">
        <f t="array" ref="AP37">IF($V$140=$V$142,_xlfn.IFS($X$100=$W$102,AD169,$X$100=$AI$102,AP169,$X$100=$AU$102,BB169,$X$100=$BG$102,BN169,$X$100=$BS$102,BZ169,$X$100=$CE$102,CL169),_xlfn.IFS($X$100=$W$102,AD209,$X$100=$AI$102,AP209,$X$100=$AU$102,BB209,$X$100=$BG$102,BN209,$X$100=$BS$102,BZ209,$X$100=$CE$102,CL209))</f>
        <v>#N/A</v>
      </c>
      <c r="AQ37" t="e" cm="1">
        <f t="array" ref="AQ37">IF($V$140=$V$142,_xlfn.IFS($X$100=$W$102,AE169,$X$100=$AI$102,AQ169,$X$100=$AU$102,BC169,$X$100=$BG$102,BO169,$X$100=$BS$102,CA169,$X$100=$CE$102,CM169),_xlfn.IFS($X$100=$W$102,AE209,$X$100=$AI$102,AQ209,$X$100=$AU$102,BC209,$X$100=$BG$102,BO209,$X$100=$BS$102,CA209,$X$100=$CE$102,CM209))</f>
        <v>#N/A</v>
      </c>
      <c r="AR37" t="e" cm="1">
        <f t="array" ref="AR37">IF($V$140=$V$142,_xlfn.IFS($X$100=$W$102,AF169,$X$100=$AI$102,AR169,$X$100=$AU$102,BD169,$X$100=$BG$102,BP169,$X$100=$BS$102,CB169,$X$100=$CE$102,CN169),_xlfn.IFS($X$100=$W$102,AF209,$X$100=$AI$102,AR209,$X$100=$AU$102,BD209,$X$100=$BG$102,BP209,$X$100=$BS$102,CB209,$X$100=$CE$102,CN209))</f>
        <v>#N/A</v>
      </c>
      <c r="AT37">
        <f t="shared" si="2"/>
        <v>2.015943759247105E-2</v>
      </c>
      <c r="AU37">
        <f t="shared" si="7"/>
        <v>1.6825965590361279E-2</v>
      </c>
      <c r="AV37">
        <f t="shared" si="8"/>
        <v>8.2447599403337127E-3</v>
      </c>
      <c r="AW37">
        <f t="shared" si="9"/>
        <v>9.8508119937096867E-3</v>
      </c>
      <c r="AX37">
        <f t="shared" si="10"/>
        <v>3.3110979047854508E-3</v>
      </c>
      <c r="AZ37" t="e" cm="1">
        <f t="array" ref="AZ37">_xlfn.IFS($X$100=$W$102,AB126,$X$100=$AI$102,AN126,$X$100=$AU$102,AZ126,$X$100=$BG$102,BL126,$X$100=$BS$102,BX126,$X$100=$CE$102,CJ126)</f>
        <v>#N/A</v>
      </c>
      <c r="BA37" t="e" cm="1">
        <f t="array" ref="BA37">_xlfn.IFS($X$100=$W$102,AC126,$X$100=$AI$102,AO126,$X$100=$AU$102,BA126,$X$100=$BG$102,BM126,$X$100=$BS$102,BY126,$X$100=$CE$102,CK126)</f>
        <v>#N/A</v>
      </c>
      <c r="BB37" t="e" cm="1">
        <f t="array" ref="BB37">_xlfn.IFS($X$100=$W$102,AD126,$X$100=$AI$102,AP126,$X$100=$AU$102,BB126,$X$100=$BG$102,BN126,$X$100=$BS$102,BZ126,$X$100=$CE$102,CL126)</f>
        <v>#N/A</v>
      </c>
      <c r="BC37" t="e" cm="1">
        <f t="array" ref="BC37">_xlfn.IFS($X$100=$W$102,AE126,$X$100=$AI$102,AQ126,$X$100=$AU$102,BC126,$X$100=$BG$102,BO126,$X$100=$BS$102,CA126,$X$100=$CE$102,CM126)</f>
        <v>#N/A</v>
      </c>
      <c r="BD37" t="e" cm="1">
        <f t="array" ref="BD37">_xlfn.IFS($X$100=$W$102,AF126,$X$100=$AI$102,AR126,$X$100=$AU$102,BD126,$X$100=$BG$102,BP126,$X$100=$BS$102,CB126,$X$100=$CE$102,CN126)</f>
        <v>#N/A</v>
      </c>
    </row>
    <row r="38" spans="1:56" x14ac:dyDescent="0.2">
      <c r="A38" t="s">
        <v>13</v>
      </c>
      <c r="B38">
        <f>D9</f>
        <v>0</v>
      </c>
      <c r="U38" s="86">
        <f t="shared" si="3"/>
        <v>26</v>
      </c>
      <c r="AA38" s="10">
        <f t="shared" si="4"/>
        <v>15</v>
      </c>
      <c r="AB38">
        <v>1.7593567002003031E-2</v>
      </c>
      <c r="AC38">
        <v>1.493931215618876E-2</v>
      </c>
      <c r="AD38">
        <v>9.2523908074369846E-3</v>
      </c>
      <c r="AE38">
        <v>8.4569711014405597E-3</v>
      </c>
      <c r="AF38">
        <v>4.3483599999999999E-3</v>
      </c>
      <c r="AH38" cm="1">
        <f t="array" ref="AH38">_xlfn.IFS($B$11=$Z$13,AB38,$B$11=$Z$50,AT38,$B$11=$Z$99,AZ38,$B$11=$Z$139,AN38)</f>
        <v>1.7593567002003031E-2</v>
      </c>
      <c r="AI38" cm="1">
        <f t="array" ref="AI38">_xlfn.IFS($B$11=$Z$13,AC38,$B$11=$Z$50,AU38,$B$11=$Z$99,BA38,$B$11=$Z$139,AO38)</f>
        <v>1.493931215618876E-2</v>
      </c>
      <c r="AJ38" cm="1">
        <f t="array" ref="AJ38">_xlfn.IFS($B$11=$Z$13,AD38,$B$11=$Z$50,AV38,$B$11=$Z$99,BB38,$B$11=$Z$139,AP38)</f>
        <v>9.2523908074369846E-3</v>
      </c>
      <c r="AK38" cm="1">
        <f t="array" ref="AK38">_xlfn.IFS($B$11=$Z$13,AE38,$B$11=$Z$50,AW38,$B$11=$Z$99,BC38,$B$11=$Z$139,AQ38)</f>
        <v>8.4569711014405597E-3</v>
      </c>
      <c r="AL38" cm="1">
        <f t="array" ref="AL38">_xlfn.IFS($B$11=$Z$13,AF38,$B$11=$Z$50,AX38,$B$11=$Z$99,BD38,$B$11=$Z$139,AR38)</f>
        <v>4.3483599999999999E-3</v>
      </c>
      <c r="AN38" t="e" cm="1">
        <f t="array" ref="AN38">IF($V$140=$V$142,_xlfn.IFS($X$100=$W$102,AB170,$X$100=$AI$102,AN170,$X$100=$AU$102,AZ170,$X$100=$BG$102,BL170,$X$100=$BS$102,BX170,$X$100=$CE$102,CJ170),_xlfn.IFS($X$100=$W$102,AB210,$X$100=$AI$102,AN210,$X$100=$AU$102,AZ210,$X$100=$BG$102,BL210,$X$100=$BS$102,BX210,$X$100=$CE$102,CJ210))</f>
        <v>#N/A</v>
      </c>
      <c r="AO38" t="e" cm="1">
        <f t="array" ref="AO38">IF($V$140=$V$142,_xlfn.IFS($X$100=$W$102,AC170,$X$100=$AI$102,AO170,$X$100=$AU$102,BA170,$X$100=$BG$102,BM170,$X$100=$BS$102,BY170,$X$100=$CE$102,CK170),_xlfn.IFS($X$100=$W$102,AC210,$X$100=$AI$102,AO210,$X$100=$AU$102,BA210,$X$100=$BG$102,BM210,$X$100=$BS$102,BY210,$X$100=$CE$102,CK210))</f>
        <v>#N/A</v>
      </c>
      <c r="AP38" t="e" cm="1">
        <f t="array" ref="AP38">IF($V$140=$V$142,_xlfn.IFS($X$100=$W$102,AD170,$X$100=$AI$102,AP170,$X$100=$AU$102,BB170,$X$100=$BG$102,BN170,$X$100=$BS$102,BZ170,$X$100=$CE$102,CL170),_xlfn.IFS($X$100=$W$102,AD210,$X$100=$AI$102,AP210,$X$100=$AU$102,BB210,$X$100=$BG$102,BN210,$X$100=$BS$102,BZ210,$X$100=$CE$102,CL210))</f>
        <v>#N/A</v>
      </c>
      <c r="AQ38" t="e" cm="1">
        <f t="array" ref="AQ38">IF($V$140=$V$142,_xlfn.IFS($X$100=$W$102,AE170,$X$100=$AI$102,AQ170,$X$100=$AU$102,BC170,$X$100=$BG$102,BO170,$X$100=$BS$102,CA170,$X$100=$CE$102,CM170),_xlfn.IFS($X$100=$W$102,AE210,$X$100=$AI$102,AQ210,$X$100=$AU$102,BC210,$X$100=$BG$102,BO210,$X$100=$BS$102,CA210,$X$100=$CE$102,CM210))</f>
        <v>#N/A</v>
      </c>
      <c r="AR38" t="e" cm="1">
        <f t="array" ref="AR38">IF($V$140=$V$142,_xlfn.IFS($X$100=$W$102,AF170,$X$100=$AI$102,AR170,$X$100=$AU$102,BD170,$X$100=$BG$102,BP170,$X$100=$BS$102,CB170,$X$100=$CE$102,CN170),_xlfn.IFS($X$100=$W$102,AF210,$X$100=$AI$102,AR210,$X$100=$AU$102,BD210,$X$100=$BG$102,BP210,$X$100=$BS$102,CB210,$X$100=$CE$102,CN210))</f>
        <v>#N/A</v>
      </c>
      <c r="AT38">
        <f t="shared" si="2"/>
        <v>1.8133770535705029E-2</v>
      </c>
      <c r="AU38">
        <f t="shared" si="7"/>
        <v>1.585906052334982E-2</v>
      </c>
      <c r="AV38">
        <f t="shared" si="8"/>
        <v>7.8986458839025268E-3</v>
      </c>
      <c r="AW38">
        <f t="shared" si="9"/>
        <v>9.5010426480951794E-3</v>
      </c>
      <c r="AX38">
        <f t="shared" si="10"/>
        <v>2.5716198130123521E-3</v>
      </c>
      <c r="AZ38" t="e" cm="1">
        <f t="array" ref="AZ38">_xlfn.IFS($X$100=$W$102,AB127,$X$100=$AI$102,AN127,$X$100=$AU$102,AZ127,$X$100=$BG$102,BL127,$X$100=$BS$102,BX127,$X$100=$CE$102,CJ127)</f>
        <v>#N/A</v>
      </c>
      <c r="BA38" t="e" cm="1">
        <f t="array" ref="BA38">_xlfn.IFS($X$100=$W$102,AC127,$X$100=$AI$102,AO127,$X$100=$AU$102,BA127,$X$100=$BG$102,BM127,$X$100=$BS$102,BY127,$X$100=$CE$102,CK127)</f>
        <v>#N/A</v>
      </c>
      <c r="BB38" t="e" cm="1">
        <f t="array" ref="BB38">_xlfn.IFS($X$100=$W$102,AD127,$X$100=$AI$102,AP127,$X$100=$AU$102,BB127,$X$100=$BG$102,BN127,$X$100=$BS$102,BZ127,$X$100=$CE$102,CL127)</f>
        <v>#N/A</v>
      </c>
      <c r="BC38" t="e" cm="1">
        <f t="array" ref="BC38">_xlfn.IFS($X$100=$W$102,AE127,$X$100=$AI$102,AQ127,$X$100=$AU$102,BC127,$X$100=$BG$102,BO127,$X$100=$BS$102,CA127,$X$100=$CE$102,CM127)</f>
        <v>#N/A</v>
      </c>
      <c r="BD38" t="e" cm="1">
        <f t="array" ref="BD38">_xlfn.IFS($X$100=$W$102,AF127,$X$100=$AI$102,AR127,$X$100=$AU$102,BD127,$X$100=$BG$102,BP127,$X$100=$BS$102,CB127,$X$100=$CE$102,CN127)</f>
        <v>#N/A</v>
      </c>
    </row>
    <row r="39" spans="1:56" x14ac:dyDescent="0.2">
      <c r="U39" s="86">
        <f t="shared" si="3"/>
        <v>27</v>
      </c>
      <c r="AA39" s="10">
        <f t="shared" si="4"/>
        <v>15.5</v>
      </c>
      <c r="AB39">
        <v>1.6183891296086099E-2</v>
      </c>
      <c r="AC39">
        <v>1.3998250735530231E-2</v>
      </c>
      <c r="AD39">
        <v>9.3356794749267294E-3</v>
      </c>
      <c r="AE39">
        <v>7.9103320930728176E-3</v>
      </c>
      <c r="AF39">
        <v>3.630646E-3</v>
      </c>
      <c r="AH39" cm="1">
        <f t="array" ref="AH39">_xlfn.IFS($B$11=$Z$13,AB39,$B$11=$Z$50,AT39,$B$11=$Z$99,AZ39,$B$11=$Z$139,AN39)</f>
        <v>1.6183891296086099E-2</v>
      </c>
      <c r="AI39" cm="1">
        <f t="array" ref="AI39">_xlfn.IFS($B$11=$Z$13,AC39,$B$11=$Z$50,AU39,$B$11=$Z$99,BA39,$B$11=$Z$139,AO39)</f>
        <v>1.3998250735530231E-2</v>
      </c>
      <c r="AJ39" cm="1">
        <f t="array" ref="AJ39">_xlfn.IFS($B$11=$Z$13,AD39,$B$11=$Z$50,AV39,$B$11=$Z$99,BB39,$B$11=$Z$139,AP39)</f>
        <v>9.3356794749267294E-3</v>
      </c>
      <c r="AK39" cm="1">
        <f t="array" ref="AK39">_xlfn.IFS($B$11=$Z$13,AE39,$B$11=$Z$50,AW39,$B$11=$Z$99,BC39,$B$11=$Z$139,AQ39)</f>
        <v>7.9103320930728176E-3</v>
      </c>
      <c r="AL39" cm="1">
        <f t="array" ref="AL39">_xlfn.IFS($B$11=$Z$13,AF39,$B$11=$Z$50,AX39,$B$11=$Z$99,BD39,$B$11=$Z$139,AR39)</f>
        <v>3.630646E-3</v>
      </c>
      <c r="AN39" t="e" cm="1">
        <f t="array" ref="AN39">IF($V$140=$V$142,_xlfn.IFS($X$100=$W$102,AB171,$X$100=$AI$102,AN171,$X$100=$AU$102,AZ171,$X$100=$BG$102,BL171,$X$100=$BS$102,BX171,$X$100=$CE$102,CJ171),_xlfn.IFS($X$100=$W$102,AB211,$X$100=$AI$102,AN211,$X$100=$AU$102,AZ211,$X$100=$BG$102,BL211,$X$100=$BS$102,BX211,$X$100=$CE$102,CJ211))</f>
        <v>#N/A</v>
      </c>
      <c r="AO39" t="e" cm="1">
        <f t="array" ref="AO39">IF($V$140=$V$142,_xlfn.IFS($X$100=$W$102,AC171,$X$100=$AI$102,AO171,$X$100=$AU$102,BA171,$X$100=$BG$102,BM171,$X$100=$BS$102,BY171,$X$100=$CE$102,CK171),_xlfn.IFS($X$100=$W$102,AC211,$X$100=$AI$102,AO211,$X$100=$AU$102,BA211,$X$100=$BG$102,BM211,$X$100=$BS$102,BY211,$X$100=$CE$102,CK211))</f>
        <v>#N/A</v>
      </c>
      <c r="AP39" t="e" cm="1">
        <f t="array" ref="AP39">IF($V$140=$V$142,_xlfn.IFS($X$100=$W$102,AD171,$X$100=$AI$102,AP171,$X$100=$AU$102,BB171,$X$100=$BG$102,BN171,$X$100=$BS$102,BZ171,$X$100=$CE$102,CL171),_xlfn.IFS($X$100=$W$102,AD211,$X$100=$AI$102,AP211,$X$100=$AU$102,BB211,$X$100=$BG$102,BN211,$X$100=$BS$102,BZ211,$X$100=$CE$102,CL211))</f>
        <v>#N/A</v>
      </c>
      <c r="AQ39" t="e" cm="1">
        <f t="array" ref="AQ39">IF($V$140=$V$142,_xlfn.IFS($X$100=$W$102,AE171,$X$100=$AI$102,AQ171,$X$100=$AU$102,BC171,$X$100=$BG$102,BO171,$X$100=$BS$102,CA171,$X$100=$CE$102,CM171),_xlfn.IFS($X$100=$W$102,AE211,$X$100=$AI$102,AQ211,$X$100=$AU$102,BC211,$X$100=$BG$102,BO211,$X$100=$BS$102,CA211,$X$100=$CE$102,CM211))</f>
        <v>#N/A</v>
      </c>
      <c r="AR39" t="e" cm="1">
        <f t="array" ref="AR39">IF($V$140=$V$142,_xlfn.IFS($X$100=$W$102,AF171,$X$100=$AI$102,AR171,$X$100=$AU$102,BD171,$X$100=$BG$102,BP171,$X$100=$BS$102,CB171,$X$100=$CE$102,CN171),_xlfn.IFS($X$100=$W$102,AF211,$X$100=$AI$102,AR211,$X$100=$AU$102,BD211,$X$100=$BG$102,BP211,$X$100=$BS$102,CB211,$X$100=$CE$102,CN211))</f>
        <v>#N/A</v>
      </c>
      <c r="AT39">
        <f t="shared" si="2"/>
        <v>1.6602687192798948E-2</v>
      </c>
      <c r="AU39">
        <f t="shared" si="7"/>
        <v>1.521470064001478E-2</v>
      </c>
      <c r="AV39">
        <f t="shared" si="8"/>
        <v>7.9894076420415558E-3</v>
      </c>
      <c r="AW39">
        <f t="shared" si="9"/>
        <v>9.1313381689242332E-3</v>
      </c>
      <c r="AX39">
        <f t="shared" si="10"/>
        <v>2.1139499390373752E-3</v>
      </c>
      <c r="AZ39" t="e" cm="1">
        <f t="array" ref="AZ39">_xlfn.IFS($X$100=$W$102,AB128,$X$100=$AI$102,AN128,$X$100=$AU$102,AZ128,$X$100=$BG$102,BL128,$X$100=$BS$102,BX128,$X$100=$CE$102,CJ128)</f>
        <v>#N/A</v>
      </c>
      <c r="BA39" t="e" cm="1">
        <f t="array" ref="BA39">_xlfn.IFS($X$100=$W$102,AC128,$X$100=$AI$102,AO128,$X$100=$AU$102,BA128,$X$100=$BG$102,BM128,$X$100=$BS$102,BY128,$X$100=$CE$102,CK128)</f>
        <v>#N/A</v>
      </c>
      <c r="BB39" t="e" cm="1">
        <f t="array" ref="BB39">_xlfn.IFS($X$100=$W$102,AD128,$X$100=$AI$102,AP128,$X$100=$AU$102,BB128,$X$100=$BG$102,BN128,$X$100=$BS$102,BZ128,$X$100=$CE$102,CL128)</f>
        <v>#N/A</v>
      </c>
      <c r="BC39" t="e" cm="1">
        <f t="array" ref="BC39">_xlfn.IFS($X$100=$W$102,AE128,$X$100=$AI$102,AQ128,$X$100=$AU$102,BC128,$X$100=$BG$102,BO128,$X$100=$BS$102,CA128,$X$100=$CE$102,CM128)</f>
        <v>#N/A</v>
      </c>
      <c r="BD39" t="e" cm="1">
        <f t="array" ref="BD39">_xlfn.IFS($X$100=$W$102,AF128,$X$100=$AI$102,AR128,$X$100=$AU$102,BD128,$X$100=$BG$102,BP128,$X$100=$BS$102,CB128,$X$100=$CE$102,CN128)</f>
        <v>#N/A</v>
      </c>
    </row>
    <row r="40" spans="1:56" x14ac:dyDescent="0.2">
      <c r="A40" s="20" t="s">
        <v>134</v>
      </c>
      <c r="U40" s="86">
        <f t="shared" si="3"/>
        <v>28</v>
      </c>
      <c r="AA40" s="10">
        <f t="shared" si="4"/>
        <v>16</v>
      </c>
      <c r="AB40">
        <v>1.484590072543948E-2</v>
      </c>
      <c r="AC40">
        <v>1.274297752557154E-2</v>
      </c>
      <c r="AD40">
        <v>9.3478127082359634E-3</v>
      </c>
      <c r="AE40">
        <v>7.2237960802579559E-3</v>
      </c>
      <c r="AF40">
        <v>2.7266970000000001E-3</v>
      </c>
      <c r="AH40" cm="1">
        <f t="array" ref="AH40">_xlfn.IFS($B$11=$Z$13,AB40,$B$11=$Z$50,AT40,$B$11=$Z$99,AZ40,$B$11=$Z$139,AN40)</f>
        <v>1.484590072543948E-2</v>
      </c>
      <c r="AI40" cm="1">
        <f t="array" ref="AI40">_xlfn.IFS($B$11=$Z$13,AC40,$B$11=$Z$50,AU40,$B$11=$Z$99,BA40,$B$11=$Z$139,AO40)</f>
        <v>1.274297752557154E-2</v>
      </c>
      <c r="AJ40" cm="1">
        <f t="array" ref="AJ40">_xlfn.IFS($B$11=$Z$13,AD40,$B$11=$Z$50,AV40,$B$11=$Z$99,BB40,$B$11=$Z$139,AP40)</f>
        <v>9.3478127082359634E-3</v>
      </c>
      <c r="AK40" cm="1">
        <f t="array" ref="AK40">_xlfn.IFS($B$11=$Z$13,AE40,$B$11=$Z$50,AW40,$B$11=$Z$99,BC40,$B$11=$Z$139,AQ40)</f>
        <v>7.2237960802579559E-3</v>
      </c>
      <c r="AL40" cm="1">
        <f t="array" ref="AL40">_xlfn.IFS($B$11=$Z$13,AF40,$B$11=$Z$50,AX40,$B$11=$Z$99,BD40,$B$11=$Z$139,AR40)</f>
        <v>2.7266970000000001E-3</v>
      </c>
      <c r="AN40" t="e" cm="1">
        <f t="array" ref="AN40">IF($V$140=$V$142,_xlfn.IFS($X$100=$W$102,AB172,$X$100=$AI$102,AN172,$X$100=$AU$102,AZ172,$X$100=$BG$102,BL172,$X$100=$BS$102,BX172,$X$100=$CE$102,CJ172),_xlfn.IFS($X$100=$W$102,AB212,$X$100=$AI$102,AN212,$X$100=$AU$102,AZ212,$X$100=$BG$102,BL212,$X$100=$BS$102,BX212,$X$100=$CE$102,CJ212))</f>
        <v>#N/A</v>
      </c>
      <c r="AO40" t="e" cm="1">
        <f t="array" ref="AO40">IF($V$140=$V$142,_xlfn.IFS($X$100=$W$102,AC172,$X$100=$AI$102,AO172,$X$100=$AU$102,BA172,$X$100=$BG$102,BM172,$X$100=$BS$102,BY172,$X$100=$CE$102,CK172),_xlfn.IFS($X$100=$W$102,AC212,$X$100=$AI$102,AO212,$X$100=$AU$102,BA212,$X$100=$BG$102,BM212,$X$100=$BS$102,BY212,$X$100=$CE$102,CK212))</f>
        <v>#N/A</v>
      </c>
      <c r="AP40" t="e" cm="1">
        <f t="array" ref="AP40">IF($V$140=$V$142,_xlfn.IFS($X$100=$W$102,AD172,$X$100=$AI$102,AP172,$X$100=$AU$102,BB172,$X$100=$BG$102,BN172,$X$100=$BS$102,BZ172,$X$100=$CE$102,CL172),_xlfn.IFS($X$100=$W$102,AD212,$X$100=$AI$102,AP212,$X$100=$AU$102,BB212,$X$100=$BG$102,BN212,$X$100=$BS$102,BZ212,$X$100=$CE$102,CL212))</f>
        <v>#N/A</v>
      </c>
      <c r="AQ40" t="e" cm="1">
        <f t="array" ref="AQ40">IF($V$140=$V$142,_xlfn.IFS($X$100=$W$102,AE172,$X$100=$AI$102,AQ172,$X$100=$AU$102,BC172,$X$100=$BG$102,BO172,$X$100=$BS$102,CA172,$X$100=$CE$102,CM172),_xlfn.IFS($X$100=$W$102,AE212,$X$100=$AI$102,AQ212,$X$100=$AU$102,BC212,$X$100=$BG$102,BO212,$X$100=$BS$102,CA212,$X$100=$CE$102,CM212))</f>
        <v>#N/A</v>
      </c>
      <c r="AR40" t="e" cm="1">
        <f t="array" ref="AR40">IF($V$140=$V$142,_xlfn.IFS($X$100=$W$102,AF172,$X$100=$AI$102,AR172,$X$100=$AU$102,BD172,$X$100=$BG$102,BP172,$X$100=$BS$102,CB172,$X$100=$CE$102,CN172),_xlfn.IFS($X$100=$W$102,AF212,$X$100=$AI$102,AR212,$X$100=$AU$102,BD212,$X$100=$BG$102,BP212,$X$100=$BS$102,CB212,$X$100=$CE$102,CN212))</f>
        <v>#N/A</v>
      </c>
      <c r="AT40">
        <f t="shared" si="2"/>
        <v>1.527801400471385E-2</v>
      </c>
      <c r="AU40">
        <f t="shared" si="7"/>
        <v>1.4047019571694311E-2</v>
      </c>
      <c r="AV40">
        <f t="shared" si="8"/>
        <v>8.0599438573779828E-3</v>
      </c>
      <c r="AW40">
        <f t="shared" si="9"/>
        <v>8.3305311180824678E-3</v>
      </c>
      <c r="AX40">
        <f t="shared" si="10"/>
        <v>1.733521646117819E-3</v>
      </c>
      <c r="AZ40" t="e" cm="1">
        <f t="array" ref="AZ40">_xlfn.IFS($X$100=$W$102,AB129,$X$100=$AI$102,AN129,$X$100=$AU$102,AZ129,$X$100=$BG$102,BL129,$X$100=$BS$102,BX129,$X$100=$CE$102,CJ129)</f>
        <v>#N/A</v>
      </c>
      <c r="BA40" t="e" cm="1">
        <f t="array" ref="BA40">_xlfn.IFS($X$100=$W$102,AC129,$X$100=$AI$102,AO129,$X$100=$AU$102,BA129,$X$100=$BG$102,BM129,$X$100=$BS$102,BY129,$X$100=$CE$102,CK129)</f>
        <v>#N/A</v>
      </c>
      <c r="BB40" t="e" cm="1">
        <f t="array" ref="BB40">_xlfn.IFS($X$100=$W$102,AD129,$X$100=$AI$102,AP129,$X$100=$AU$102,BB129,$X$100=$BG$102,BN129,$X$100=$BS$102,BZ129,$X$100=$CE$102,CL129)</f>
        <v>#N/A</v>
      </c>
      <c r="BC40" t="e" cm="1">
        <f t="array" ref="BC40">_xlfn.IFS($X$100=$W$102,AE129,$X$100=$AI$102,AQ129,$X$100=$AU$102,BC129,$X$100=$BG$102,BO129,$X$100=$BS$102,CA129,$X$100=$CE$102,CM129)</f>
        <v>#N/A</v>
      </c>
      <c r="BD40" t="e" cm="1">
        <f t="array" ref="BD40">_xlfn.IFS($X$100=$W$102,AF129,$X$100=$AI$102,AR129,$X$100=$AU$102,BD129,$X$100=$BG$102,BP129,$X$100=$BS$102,CB129,$X$100=$CE$102,CN129)</f>
        <v>#N/A</v>
      </c>
    </row>
    <row r="41" spans="1:56" x14ac:dyDescent="0.2">
      <c r="A41" s="4" t="s">
        <v>25</v>
      </c>
      <c r="U41" s="86">
        <f t="shared" si="3"/>
        <v>29</v>
      </c>
      <c r="AA41" s="10">
        <f t="shared" si="4"/>
        <v>16.5</v>
      </c>
      <c r="AB41">
        <v>1.3205744162356779E-2</v>
      </c>
      <c r="AC41">
        <v>1.099412415524372E-2</v>
      </c>
      <c r="AD41">
        <v>8.2394338288795613E-3</v>
      </c>
      <c r="AE41">
        <v>6.0705262902607474E-3</v>
      </c>
      <c r="AF41">
        <v>1.852079E-3</v>
      </c>
      <c r="AH41" cm="1">
        <f t="array" ref="AH41">_xlfn.IFS($B$11=$Z$13,AB41,$B$11=$Z$50,AT41,$B$11=$Z$99,AZ41,$B$11=$Z$139,AN41)</f>
        <v>1.3205744162356779E-2</v>
      </c>
      <c r="AI41" cm="1">
        <f t="array" ref="AI41">_xlfn.IFS($B$11=$Z$13,AC41,$B$11=$Z$50,AU41,$B$11=$Z$99,BA41,$B$11=$Z$139,AO41)</f>
        <v>1.099412415524372E-2</v>
      </c>
      <c r="AJ41" cm="1">
        <f t="array" ref="AJ41">_xlfn.IFS($B$11=$Z$13,AD41,$B$11=$Z$50,AV41,$B$11=$Z$99,BB41,$B$11=$Z$139,AP41)</f>
        <v>8.2394338288795613E-3</v>
      </c>
      <c r="AK41" cm="1">
        <f t="array" ref="AK41">_xlfn.IFS($B$11=$Z$13,AE41,$B$11=$Z$50,AW41,$B$11=$Z$99,BC41,$B$11=$Z$139,AQ41)</f>
        <v>6.0705262902607474E-3</v>
      </c>
      <c r="AL41" cm="1">
        <f t="array" ref="AL41">_xlfn.IFS($B$11=$Z$13,AF41,$B$11=$Z$50,AX41,$B$11=$Z$99,BD41,$B$11=$Z$139,AR41)</f>
        <v>1.852079E-3</v>
      </c>
      <c r="AN41" t="e" cm="1">
        <f t="array" ref="AN41">IF($V$140=$V$142,_xlfn.IFS($X$100=$W$102,AB173,$X$100=$AI$102,AN173,$X$100=$AU$102,AZ173,$X$100=$BG$102,BL173,$X$100=$BS$102,BX173,$X$100=$CE$102,CJ173),_xlfn.IFS($X$100=$W$102,AB213,$X$100=$AI$102,AN213,$X$100=$AU$102,AZ213,$X$100=$BG$102,BL213,$X$100=$BS$102,BX213,$X$100=$CE$102,CJ213))</f>
        <v>#N/A</v>
      </c>
      <c r="AO41" t="e" cm="1">
        <f t="array" ref="AO41">IF($V$140=$V$142,_xlfn.IFS($X$100=$W$102,AC173,$X$100=$AI$102,AO173,$X$100=$AU$102,BA173,$X$100=$BG$102,BM173,$X$100=$BS$102,BY173,$X$100=$CE$102,CK173),_xlfn.IFS($X$100=$W$102,AC213,$X$100=$AI$102,AO213,$X$100=$AU$102,BA213,$X$100=$BG$102,BM213,$X$100=$BS$102,BY213,$X$100=$CE$102,CK213))</f>
        <v>#N/A</v>
      </c>
      <c r="AP41" t="e" cm="1">
        <f t="array" ref="AP41">IF($V$140=$V$142,_xlfn.IFS($X$100=$W$102,AD173,$X$100=$AI$102,AP173,$X$100=$AU$102,BB173,$X$100=$BG$102,BN173,$X$100=$BS$102,BZ173,$X$100=$CE$102,CL173),_xlfn.IFS($X$100=$W$102,AD213,$X$100=$AI$102,AP213,$X$100=$AU$102,BB213,$X$100=$BG$102,BN213,$X$100=$BS$102,BZ213,$X$100=$CE$102,CL213))</f>
        <v>#N/A</v>
      </c>
      <c r="AQ41" t="e" cm="1">
        <f t="array" ref="AQ41">IF($V$140=$V$142,_xlfn.IFS($X$100=$W$102,AE173,$X$100=$AI$102,AQ173,$X$100=$AU$102,BC173,$X$100=$BG$102,BO173,$X$100=$BS$102,CA173,$X$100=$CE$102,CM173),_xlfn.IFS($X$100=$W$102,AE213,$X$100=$AI$102,AQ213,$X$100=$AU$102,BC213,$X$100=$BG$102,BO213,$X$100=$BS$102,CA213,$X$100=$CE$102,CM213))</f>
        <v>#N/A</v>
      </c>
      <c r="AR41" t="e" cm="1">
        <f t="array" ref="AR41">IF($V$140=$V$142,_xlfn.IFS($X$100=$W$102,AF173,$X$100=$AI$102,AR173,$X$100=$AU$102,BD173,$X$100=$BG$102,BP173,$X$100=$BS$102,CB173,$X$100=$CE$102,CN173),_xlfn.IFS($X$100=$W$102,AF213,$X$100=$AI$102,AR213,$X$100=$AU$102,BD213,$X$100=$BG$102,BP213,$X$100=$BS$102,CB213,$X$100=$CE$102,CN213))</f>
        <v>#N/A</v>
      </c>
      <c r="AT41">
        <f t="shared" si="2"/>
        <v>1.422497472960548E-2</v>
      </c>
      <c r="AU41">
        <f t="shared" si="7"/>
        <v>1.2500407360657891E-2</v>
      </c>
      <c r="AV41">
        <f t="shared" si="8"/>
        <v>7.3728396977631779E-3</v>
      </c>
      <c r="AW41">
        <f t="shared" si="9"/>
        <v>7.2953443533644311E-3</v>
      </c>
      <c r="AX41">
        <f t="shared" si="10"/>
        <v>1.204790882080167E-3</v>
      </c>
      <c r="AZ41" t="e" cm="1">
        <f t="array" ref="AZ41">_xlfn.IFS($X$100=$W$102,AB130,$X$100=$AI$102,AN130,$X$100=$AU$102,AZ130,$X$100=$BG$102,BL130,$X$100=$BS$102,BX130,$X$100=$CE$102,CJ130)</f>
        <v>#N/A</v>
      </c>
      <c r="BA41" t="e" cm="1">
        <f t="array" ref="BA41">_xlfn.IFS($X$100=$W$102,AC130,$X$100=$AI$102,AO130,$X$100=$AU$102,BA130,$X$100=$BG$102,BM130,$X$100=$BS$102,BY130,$X$100=$CE$102,CK130)</f>
        <v>#N/A</v>
      </c>
      <c r="BB41" t="e" cm="1">
        <f t="array" ref="BB41">_xlfn.IFS($X$100=$W$102,AD130,$X$100=$AI$102,AP130,$X$100=$AU$102,BB130,$X$100=$BG$102,BN130,$X$100=$BS$102,BZ130,$X$100=$CE$102,CL130)</f>
        <v>#N/A</v>
      </c>
      <c r="BC41" t="e" cm="1">
        <f t="array" ref="BC41">_xlfn.IFS($X$100=$W$102,AE130,$X$100=$AI$102,AQ130,$X$100=$AU$102,BC130,$X$100=$BG$102,BO130,$X$100=$BS$102,CA130,$X$100=$CE$102,CM130)</f>
        <v>#N/A</v>
      </c>
      <c r="BD41" t="e" cm="1">
        <f t="array" ref="BD41">_xlfn.IFS($X$100=$W$102,AF130,$X$100=$AI$102,AR130,$X$100=$AU$102,BD130,$X$100=$BG$102,BP130,$X$100=$BS$102,CB130,$X$100=$CE$102,CN130)</f>
        <v>#N/A</v>
      </c>
    </row>
    <row r="42" spans="1:56" x14ac:dyDescent="0.2">
      <c r="A42" s="4" t="s">
        <v>16</v>
      </c>
      <c r="C42" s="22">
        <v>9.8743999999999996</v>
      </c>
      <c r="D42" s="22">
        <v>9.3767999999999994</v>
      </c>
      <c r="E42" s="22">
        <v>8.0024999999999995</v>
      </c>
      <c r="F42" s="22">
        <v>7.74939</v>
      </c>
      <c r="G42" s="22">
        <v>6.5518999999999998</v>
      </c>
      <c r="I42" s="22"/>
      <c r="J42" s="22"/>
      <c r="K42" s="22"/>
      <c r="L42" s="22"/>
      <c r="M42" s="22"/>
      <c r="O42" s="22">
        <v>0.96231999999999995</v>
      </c>
      <c r="P42" s="22">
        <v>0.92239000000000004</v>
      </c>
      <c r="Q42" s="22">
        <v>0.85107999999999995</v>
      </c>
      <c r="R42" s="22">
        <v>0.83786000000000005</v>
      </c>
      <c r="S42" s="22">
        <v>0.78120999999999996</v>
      </c>
      <c r="U42" s="86">
        <f t="shared" si="3"/>
        <v>30</v>
      </c>
      <c r="AA42" s="10">
        <f t="shared" si="4"/>
        <v>17</v>
      </c>
      <c r="AB42">
        <v>1.1580306792439741E-2</v>
      </c>
      <c r="AC42">
        <v>9.2528341512969972E-3</v>
      </c>
      <c r="AD42">
        <v>6.739350316626605E-3</v>
      </c>
      <c r="AE42">
        <v>4.955261733892582E-3</v>
      </c>
      <c r="AF42">
        <v>1.198092E-3</v>
      </c>
      <c r="AH42" cm="1">
        <f t="array" ref="AH42">_xlfn.IFS($B$11=$Z$13,AB42,$B$11=$Z$50,AT42,$B$11=$Z$99,AZ42,$B$11=$Z$139,AN42)</f>
        <v>1.1580306792439741E-2</v>
      </c>
      <c r="AI42" cm="1">
        <f t="array" ref="AI42">_xlfn.IFS($B$11=$Z$13,AC42,$B$11=$Z$50,AU42,$B$11=$Z$99,BA42,$B$11=$Z$139,AO42)</f>
        <v>9.2528341512969972E-3</v>
      </c>
      <c r="AJ42" cm="1">
        <f t="array" ref="AJ42">_xlfn.IFS($B$11=$Z$13,AD42,$B$11=$Z$50,AV42,$B$11=$Z$99,BB42,$B$11=$Z$139,AP42)</f>
        <v>6.739350316626605E-3</v>
      </c>
      <c r="AK42" cm="1">
        <f t="array" ref="AK42">_xlfn.IFS($B$11=$Z$13,AE42,$B$11=$Z$50,AW42,$B$11=$Z$99,BC42,$B$11=$Z$139,AQ42)</f>
        <v>4.955261733892582E-3</v>
      </c>
      <c r="AL42" cm="1">
        <f t="array" ref="AL42">_xlfn.IFS($B$11=$Z$13,AF42,$B$11=$Z$50,AX42,$B$11=$Z$99,BD42,$B$11=$Z$139,AR42)</f>
        <v>1.198092E-3</v>
      </c>
      <c r="AN42" t="e" cm="1">
        <f t="array" ref="AN42">IF($V$140=$V$142,_xlfn.IFS($X$100=$W$102,AB174,$X$100=$AI$102,AN174,$X$100=$AU$102,AZ174,$X$100=$BG$102,BL174,$X$100=$BS$102,BX174,$X$100=$CE$102,CJ174),_xlfn.IFS($X$100=$W$102,AB214,$X$100=$AI$102,AN214,$X$100=$AU$102,AZ214,$X$100=$BG$102,BL214,$X$100=$BS$102,BX214,$X$100=$CE$102,CJ214))</f>
        <v>#N/A</v>
      </c>
      <c r="AO42" t="e" cm="1">
        <f t="array" ref="AO42">IF($V$140=$V$142,_xlfn.IFS($X$100=$W$102,AC174,$X$100=$AI$102,AO174,$X$100=$AU$102,BA174,$X$100=$BG$102,BM174,$X$100=$BS$102,BY174,$X$100=$CE$102,CK174),_xlfn.IFS($X$100=$W$102,AC214,$X$100=$AI$102,AO214,$X$100=$AU$102,BA214,$X$100=$BG$102,BM214,$X$100=$BS$102,BY214,$X$100=$CE$102,CK214))</f>
        <v>#N/A</v>
      </c>
      <c r="AP42" t="e" cm="1">
        <f t="array" ref="AP42">IF($V$140=$V$142,_xlfn.IFS($X$100=$W$102,AD174,$X$100=$AI$102,AP174,$X$100=$AU$102,BB174,$X$100=$BG$102,BN174,$X$100=$BS$102,BZ174,$X$100=$CE$102,CL174),_xlfn.IFS($X$100=$W$102,AD214,$X$100=$AI$102,AP214,$X$100=$AU$102,BB214,$X$100=$BG$102,BN214,$X$100=$BS$102,BZ214,$X$100=$CE$102,CL214))</f>
        <v>#N/A</v>
      </c>
      <c r="AQ42" t="e" cm="1">
        <f t="array" ref="AQ42">IF($V$140=$V$142,_xlfn.IFS($X$100=$W$102,AE174,$X$100=$AI$102,AQ174,$X$100=$AU$102,BC174,$X$100=$BG$102,BO174,$X$100=$BS$102,CA174,$X$100=$CE$102,CM174),_xlfn.IFS($X$100=$W$102,AE214,$X$100=$AI$102,AQ214,$X$100=$AU$102,BC214,$X$100=$BG$102,BO214,$X$100=$BS$102,CA214,$X$100=$CE$102,CM214))</f>
        <v>#N/A</v>
      </c>
      <c r="AR42" t="e" cm="1">
        <f t="array" ref="AR42">IF($V$140=$V$142,_xlfn.IFS($X$100=$W$102,AF174,$X$100=$AI$102,AR174,$X$100=$AU$102,BD174,$X$100=$BG$102,BP174,$X$100=$BS$102,CB174,$X$100=$CE$102,CN174),_xlfn.IFS($X$100=$W$102,AF214,$X$100=$AI$102,AR214,$X$100=$AU$102,BD214,$X$100=$BG$102,BP214,$X$100=$BS$102,CB214,$X$100=$CE$102,CN214))</f>
        <v>#N/A</v>
      </c>
      <c r="AT42">
        <f t="shared" si="2"/>
        <v>1.338864363666523E-2</v>
      </c>
      <c r="AU42">
        <f t="shared" si="7"/>
        <v>1.085670382033767E-2</v>
      </c>
      <c r="AV42">
        <f t="shared" si="8"/>
        <v>6.4824003440508869E-3</v>
      </c>
      <c r="AW42">
        <f t="shared" si="9"/>
        <v>6.258330913784433E-3</v>
      </c>
      <c r="AX42">
        <f t="shared" si="10"/>
        <v>6.0892880445259667E-4</v>
      </c>
      <c r="AZ42" t="e" cm="1">
        <f t="array" ref="AZ42">_xlfn.IFS($X$100=$W$102,AB131,$X$100=$AI$102,AN131,$X$100=$AU$102,AZ131,$X$100=$BG$102,BL131,$X$100=$BS$102,BX131,$X$100=$CE$102,CJ131)</f>
        <v>#N/A</v>
      </c>
      <c r="BA42" t="e" cm="1">
        <f t="array" ref="BA42">_xlfn.IFS($X$100=$W$102,AC131,$X$100=$AI$102,AO131,$X$100=$AU$102,BA131,$X$100=$BG$102,BM131,$X$100=$BS$102,BY131,$X$100=$CE$102,CK131)</f>
        <v>#N/A</v>
      </c>
      <c r="BB42" t="e" cm="1">
        <f t="array" ref="BB42">_xlfn.IFS($X$100=$W$102,AD131,$X$100=$AI$102,AP131,$X$100=$AU$102,BB131,$X$100=$BG$102,BN131,$X$100=$BS$102,BZ131,$X$100=$CE$102,CL131)</f>
        <v>#N/A</v>
      </c>
      <c r="BC42" t="e" cm="1">
        <f t="array" ref="BC42">_xlfn.IFS($X$100=$W$102,AE131,$X$100=$AI$102,AQ131,$X$100=$AU$102,BC131,$X$100=$BG$102,BO131,$X$100=$BS$102,CA131,$X$100=$CE$102,CM131)</f>
        <v>#N/A</v>
      </c>
      <c r="BD42" t="e" cm="1">
        <f t="array" ref="BD42">_xlfn.IFS($X$100=$W$102,AF131,$X$100=$AI$102,AR131,$X$100=$AU$102,BD131,$X$100=$BG$102,BP131,$X$100=$BS$102,CB131,$X$100=$CE$102,CN131)</f>
        <v>#N/A</v>
      </c>
    </row>
    <row r="43" spans="1:56" x14ac:dyDescent="0.2">
      <c r="A43" s="4" t="s">
        <v>26</v>
      </c>
      <c r="C43" s="22">
        <v>-0.61550000000000005</v>
      </c>
      <c r="D43" s="22">
        <v>-0.27779999999999999</v>
      </c>
      <c r="E43" s="22">
        <v>0.3397</v>
      </c>
      <c r="F43" s="22">
        <v>4.7219999999999998E-2</v>
      </c>
      <c r="G43" s="22">
        <v>0.57340000000000002</v>
      </c>
      <c r="I43" s="22"/>
      <c r="J43" s="22"/>
      <c r="K43" s="22"/>
      <c r="L43" s="22"/>
      <c r="M43" s="22"/>
      <c r="O43" s="22">
        <v>-2.0140000000000002E-2</v>
      </c>
      <c r="P43" s="22">
        <v>-1.017E-2</v>
      </c>
      <c r="Q43" s="22">
        <v>1.916E-2</v>
      </c>
      <c r="R43" s="22">
        <v>1.098E-2</v>
      </c>
      <c r="S43" s="22">
        <v>3.671E-2</v>
      </c>
      <c r="U43" s="86">
        <f t="shared" si="3"/>
        <v>31</v>
      </c>
      <c r="AA43" s="10">
        <f t="shared" si="4"/>
        <v>17.5</v>
      </c>
      <c r="AB43">
        <v>1.047433850912113E-2</v>
      </c>
      <c r="AC43">
        <v>8.0874878094149786E-3</v>
      </c>
      <c r="AD43">
        <v>5.601186722139738E-3</v>
      </c>
      <c r="AE43">
        <v>4.1663540762619808E-3</v>
      </c>
      <c r="AF43">
        <v>9.1275899999999997E-4</v>
      </c>
      <c r="AH43" cm="1">
        <f t="array" ref="AH43">_xlfn.IFS($B$11=$Z$13,AB43,$B$11=$Z$50,AT43,$B$11=$Z$99,AZ43,$B$11=$Z$139,AN43)</f>
        <v>1.047433850912113E-2</v>
      </c>
      <c r="AI43" cm="1">
        <f t="array" ref="AI43">_xlfn.IFS($B$11=$Z$13,AC43,$B$11=$Z$50,AU43,$B$11=$Z$99,BA43,$B$11=$Z$139,AO43)</f>
        <v>8.0874878094149786E-3</v>
      </c>
      <c r="AJ43" cm="1">
        <f t="array" ref="AJ43">_xlfn.IFS($B$11=$Z$13,AD43,$B$11=$Z$50,AV43,$B$11=$Z$99,BB43,$B$11=$Z$139,AP43)</f>
        <v>5.601186722139738E-3</v>
      </c>
      <c r="AK43" cm="1">
        <f t="array" ref="AK43">_xlfn.IFS($B$11=$Z$13,AE43,$B$11=$Z$50,AW43,$B$11=$Z$99,BC43,$B$11=$Z$139,AQ43)</f>
        <v>4.1663540762619808E-3</v>
      </c>
      <c r="AL43" cm="1">
        <f t="array" ref="AL43">_xlfn.IFS($B$11=$Z$13,AF43,$B$11=$Z$50,AX43,$B$11=$Z$99,BD43,$B$11=$Z$139,AR43)</f>
        <v>9.1275899999999997E-4</v>
      </c>
      <c r="AN43" t="e" cm="1">
        <f t="array" ref="AN43">IF($V$140=$V$142,_xlfn.IFS($X$100=$W$102,AB175,$X$100=$AI$102,AN175,$X$100=$AU$102,AZ175,$X$100=$BG$102,BL175,$X$100=$BS$102,BX175,$X$100=$CE$102,CJ175),_xlfn.IFS($X$100=$W$102,AB215,$X$100=$AI$102,AN215,$X$100=$AU$102,AZ215,$X$100=$BG$102,BL215,$X$100=$BS$102,BX215,$X$100=$CE$102,CJ215))</f>
        <v>#N/A</v>
      </c>
      <c r="AO43" t="e" cm="1">
        <f t="array" ref="AO43">IF($V$140=$V$142,_xlfn.IFS($X$100=$W$102,AC175,$X$100=$AI$102,AO175,$X$100=$AU$102,BA175,$X$100=$BG$102,BM175,$X$100=$BS$102,BY175,$X$100=$CE$102,CK175),_xlfn.IFS($X$100=$W$102,AC215,$X$100=$AI$102,AO215,$X$100=$AU$102,BA215,$X$100=$BG$102,BM215,$X$100=$BS$102,BY215,$X$100=$CE$102,CK215))</f>
        <v>#N/A</v>
      </c>
      <c r="AP43" t="e" cm="1">
        <f t="array" ref="AP43">IF($V$140=$V$142,_xlfn.IFS($X$100=$W$102,AD175,$X$100=$AI$102,AP175,$X$100=$AU$102,BB175,$X$100=$BG$102,BN175,$X$100=$BS$102,BZ175,$X$100=$CE$102,CL175),_xlfn.IFS($X$100=$W$102,AD215,$X$100=$AI$102,AP215,$X$100=$AU$102,BB215,$X$100=$BG$102,BN215,$X$100=$BS$102,BZ215,$X$100=$CE$102,CL215))</f>
        <v>#N/A</v>
      </c>
      <c r="AQ43" t="e" cm="1">
        <f t="array" ref="AQ43">IF($V$140=$V$142,_xlfn.IFS($X$100=$W$102,AE175,$X$100=$AI$102,AQ175,$X$100=$AU$102,BC175,$X$100=$BG$102,BO175,$X$100=$BS$102,CA175,$X$100=$CE$102,CM175),_xlfn.IFS($X$100=$W$102,AE215,$X$100=$AI$102,AQ215,$X$100=$AU$102,BC215,$X$100=$BG$102,BO215,$X$100=$BS$102,CA215,$X$100=$CE$102,CM215))</f>
        <v>#N/A</v>
      </c>
      <c r="AR43" t="e" cm="1">
        <f t="array" ref="AR43">IF($V$140=$V$142,_xlfn.IFS($X$100=$W$102,AF175,$X$100=$AI$102,AR175,$X$100=$AU$102,BD175,$X$100=$BG$102,BP175,$X$100=$BS$102,CB175,$X$100=$CE$102,CN175),_xlfn.IFS($X$100=$W$102,AF215,$X$100=$AI$102,AR215,$X$100=$AU$102,BD215,$X$100=$BG$102,BP215,$X$100=$BS$102,CB215,$X$100=$CE$102,CN215))</f>
        <v>#N/A</v>
      </c>
      <c r="AT43">
        <f t="shared" si="2"/>
        <v>1.338014440066277E-2</v>
      </c>
      <c r="AU43">
        <f t="shared" si="7"/>
        <v>9.8106204837185226E-3</v>
      </c>
      <c r="AV43">
        <f t="shared" si="8"/>
        <v>5.9169251527085836E-3</v>
      </c>
      <c r="AW43">
        <f t="shared" si="9"/>
        <v>5.3960219125796724E-3</v>
      </c>
      <c r="AX43">
        <f t="shared" si="10"/>
        <v>2.6135868304901421E-4</v>
      </c>
      <c r="AZ43" t="e" cm="1">
        <f t="array" ref="AZ43">_xlfn.IFS($X$100=$W$102,AB132,$X$100=$AI$102,AN132,$X$100=$AU$102,AZ132,$X$100=$BG$102,BL132,$X$100=$BS$102,BX132,$X$100=$CE$102,CJ132)</f>
        <v>#N/A</v>
      </c>
      <c r="BA43" t="e" cm="1">
        <f t="array" ref="BA43">_xlfn.IFS($X$100=$W$102,AC132,$X$100=$AI$102,AO132,$X$100=$AU$102,BA132,$X$100=$BG$102,BM132,$X$100=$BS$102,BY132,$X$100=$CE$102,CK132)</f>
        <v>#N/A</v>
      </c>
      <c r="BB43" t="e" cm="1">
        <f t="array" ref="BB43">_xlfn.IFS($X$100=$W$102,AD132,$X$100=$AI$102,AP132,$X$100=$AU$102,BB132,$X$100=$BG$102,BN132,$X$100=$BS$102,BZ132,$X$100=$CE$102,CL132)</f>
        <v>#N/A</v>
      </c>
      <c r="BC43" t="e" cm="1">
        <f t="array" ref="BC43">_xlfn.IFS($X$100=$W$102,AE132,$X$100=$AI$102,AQ132,$X$100=$AU$102,BC132,$X$100=$BG$102,BO132,$X$100=$BS$102,CA132,$X$100=$CE$102,CM132)</f>
        <v>#N/A</v>
      </c>
      <c r="BD43" t="e" cm="1">
        <f t="array" ref="BD43">_xlfn.IFS($X$100=$W$102,AF132,$X$100=$AI$102,AR132,$X$100=$AU$102,BD132,$X$100=$BG$102,BP132,$X$100=$BS$102,CB132,$X$100=$CE$102,CN132)</f>
        <v>#N/A</v>
      </c>
    </row>
    <row r="44" spans="1:56" x14ac:dyDescent="0.2">
      <c r="A44" s="4" t="s">
        <v>17</v>
      </c>
      <c r="C44" s="8">
        <f>C42+($B$38*C43)</f>
        <v>9.8743999999999996</v>
      </c>
      <c r="D44" s="8">
        <f>D42+($B$38*D43)</f>
        <v>9.3767999999999994</v>
      </c>
      <c r="E44" s="8">
        <f>E42+($B$38*E43)</f>
        <v>8.0024999999999995</v>
      </c>
      <c r="F44" s="8">
        <f>F42+($B$38*F43)</f>
        <v>7.74939</v>
      </c>
      <c r="G44" s="8">
        <f>G42+($B$38*G43)</f>
        <v>6.5518999999999998</v>
      </c>
      <c r="O44" s="9">
        <f>O42+($B$38*O43)</f>
        <v>0.96231999999999995</v>
      </c>
      <c r="P44" s="9">
        <f t="shared" ref="P44:S44" si="11">P42+($B$38*P43)</f>
        <v>0.92239000000000004</v>
      </c>
      <c r="Q44" s="9">
        <f t="shared" si="11"/>
        <v>0.85107999999999995</v>
      </c>
      <c r="R44" s="9">
        <f t="shared" si="11"/>
        <v>0.83786000000000005</v>
      </c>
      <c r="S44" s="9">
        <f t="shared" si="11"/>
        <v>0.78120999999999996</v>
      </c>
      <c r="U44" s="86">
        <f t="shared" si="3"/>
        <v>32</v>
      </c>
      <c r="AA44" s="10">
        <f t="shared" si="4"/>
        <v>18</v>
      </c>
      <c r="AB44">
        <v>1.040450022681572E-2</v>
      </c>
      <c r="AC44">
        <v>8.2710195005417566E-3</v>
      </c>
      <c r="AD44">
        <v>5.5795265848174614E-3</v>
      </c>
      <c r="AE44">
        <v>3.8786599596958718E-3</v>
      </c>
      <c r="AF44">
        <v>7.2345000000000005E-4</v>
      </c>
      <c r="AH44" cm="1">
        <f t="array" ref="AH44">_xlfn.IFS($B$11=$Z$13,AB44,$B$11=$Z$50,AT44,$B$11=$Z$99,AZ44,$B$11=$Z$139,AN44)</f>
        <v>1.040450022681572E-2</v>
      </c>
      <c r="AI44" cm="1">
        <f t="array" ref="AI44">_xlfn.IFS($B$11=$Z$13,AC44,$B$11=$Z$50,AU44,$B$11=$Z$99,BA44,$B$11=$Z$139,AO44)</f>
        <v>8.2710195005417566E-3</v>
      </c>
      <c r="AJ44" cm="1">
        <f t="array" ref="AJ44">_xlfn.IFS($B$11=$Z$13,AD44,$B$11=$Z$50,AV44,$B$11=$Z$99,BB44,$B$11=$Z$139,AP44)</f>
        <v>5.5795265848174614E-3</v>
      </c>
      <c r="AK44" cm="1">
        <f t="array" ref="AK44">_xlfn.IFS($B$11=$Z$13,AE44,$B$11=$Z$50,AW44,$B$11=$Z$99,BC44,$B$11=$Z$139,AQ44)</f>
        <v>3.8786599596958718E-3</v>
      </c>
      <c r="AL44" cm="1">
        <f t="array" ref="AL44">_xlfn.IFS($B$11=$Z$13,AF44,$B$11=$Z$50,AX44,$B$11=$Z$99,BD44,$B$11=$Z$139,AR44)</f>
        <v>7.2345000000000005E-4</v>
      </c>
      <c r="AN44" t="e" cm="1">
        <f t="array" ref="AN44">IF($V$140=$V$142,_xlfn.IFS($X$100=$W$102,AB176,$X$100=$AI$102,AN176,$X$100=$AU$102,AZ176,$X$100=$BG$102,BL176,$X$100=$BS$102,BX176,$X$100=$CE$102,CJ176),_xlfn.IFS($X$100=$W$102,AB216,$X$100=$AI$102,AN216,$X$100=$AU$102,AZ216,$X$100=$BG$102,BL216,$X$100=$BS$102,BX216,$X$100=$CE$102,CJ216))</f>
        <v>#N/A</v>
      </c>
      <c r="AO44" t="e" cm="1">
        <f t="array" ref="AO44">IF($V$140=$V$142,_xlfn.IFS($X$100=$W$102,AC176,$X$100=$AI$102,AO176,$X$100=$AU$102,BA176,$X$100=$BG$102,BM176,$X$100=$BS$102,BY176,$X$100=$CE$102,CK176),_xlfn.IFS($X$100=$W$102,AC216,$X$100=$AI$102,AO216,$X$100=$AU$102,BA216,$X$100=$BG$102,BM216,$X$100=$BS$102,BY216,$X$100=$CE$102,CK216))</f>
        <v>#N/A</v>
      </c>
      <c r="AP44" t="e" cm="1">
        <f t="array" ref="AP44">IF($V$140=$V$142,_xlfn.IFS($X$100=$W$102,AD176,$X$100=$AI$102,AP176,$X$100=$AU$102,BB176,$X$100=$BG$102,BN176,$X$100=$BS$102,BZ176,$X$100=$CE$102,CL176),_xlfn.IFS($X$100=$W$102,AD216,$X$100=$AI$102,AP216,$X$100=$AU$102,BB216,$X$100=$BG$102,BN216,$X$100=$BS$102,BZ216,$X$100=$CE$102,CL216))</f>
        <v>#N/A</v>
      </c>
      <c r="AQ44" t="e" cm="1">
        <f t="array" ref="AQ44">IF($V$140=$V$142,_xlfn.IFS($X$100=$W$102,AE176,$X$100=$AI$102,AQ176,$X$100=$AU$102,BC176,$X$100=$BG$102,BO176,$X$100=$BS$102,CA176,$X$100=$CE$102,CM176),_xlfn.IFS($X$100=$W$102,AE216,$X$100=$AI$102,AQ216,$X$100=$AU$102,BC216,$X$100=$BG$102,BO216,$X$100=$BS$102,CA216,$X$100=$CE$102,CM216))</f>
        <v>#N/A</v>
      </c>
      <c r="AR44" t="e" cm="1">
        <f t="array" ref="AR44">IF($V$140=$V$142,_xlfn.IFS($X$100=$W$102,AF176,$X$100=$AI$102,AR176,$X$100=$AU$102,BD176,$X$100=$BG$102,BP176,$X$100=$BS$102,CB176,$X$100=$CE$102,CN176),_xlfn.IFS($X$100=$W$102,AF216,$X$100=$AI$102,AR216,$X$100=$AU$102,BD216,$X$100=$BG$102,BP216,$X$100=$BS$102,CB216,$X$100=$CE$102,CN216))</f>
        <v>#N/A</v>
      </c>
      <c r="AT44">
        <f t="shared" si="2"/>
        <v>1.4108228419588789E-2</v>
      </c>
      <c r="AU44">
        <f t="shared" si="7"/>
        <v>9.8311171173595651E-3</v>
      </c>
      <c r="AV44">
        <f t="shared" si="8"/>
        <v>6.3289894863184631E-3</v>
      </c>
      <c r="AW44">
        <f t="shared" si="9"/>
        <v>5.1283229941311136E-3</v>
      </c>
      <c r="AX44">
        <f t="shared" si="10"/>
        <v>3.1056183406066341E-4</v>
      </c>
      <c r="AZ44" t="e" cm="1">
        <f t="array" ref="AZ44">_xlfn.IFS($X$100=$W$102,AB133,$X$100=$AI$102,AN133,$X$100=$AU$102,AZ133,$X$100=$BG$102,BL133,$X$100=$BS$102,BX133,$X$100=$CE$102,CJ133)</f>
        <v>#N/A</v>
      </c>
      <c r="BA44" t="e" cm="1">
        <f t="array" ref="BA44">_xlfn.IFS($X$100=$W$102,AC133,$X$100=$AI$102,AO133,$X$100=$AU$102,BA133,$X$100=$BG$102,BM133,$X$100=$BS$102,BY133,$X$100=$CE$102,CK133)</f>
        <v>#N/A</v>
      </c>
      <c r="BB44" t="e" cm="1">
        <f t="array" ref="BB44">_xlfn.IFS($X$100=$W$102,AD133,$X$100=$AI$102,AP133,$X$100=$AU$102,BB133,$X$100=$BG$102,BN133,$X$100=$BS$102,BZ133,$X$100=$CE$102,CL133)</f>
        <v>#N/A</v>
      </c>
      <c r="BC44" t="e" cm="1">
        <f t="array" ref="BC44">_xlfn.IFS($X$100=$W$102,AE133,$X$100=$AI$102,AQ133,$X$100=$AU$102,BC133,$X$100=$BG$102,BO133,$X$100=$BS$102,CA133,$X$100=$CE$102,CM133)</f>
        <v>#N/A</v>
      </c>
      <c r="BD44" t="e" cm="1">
        <f t="array" ref="BD44">_xlfn.IFS($X$100=$W$102,AF133,$X$100=$AI$102,AR133,$X$100=$AU$102,BD133,$X$100=$BG$102,BP133,$X$100=$BS$102,CB133,$X$100=$CE$102,CN133)</f>
        <v>#N/A</v>
      </c>
    </row>
    <row r="45" spans="1:56" x14ac:dyDescent="0.2">
      <c r="U45" s="86">
        <f t="shared" si="3"/>
        <v>33</v>
      </c>
      <c r="AA45" s="10">
        <f t="shared" si="4"/>
        <v>18.5</v>
      </c>
      <c r="AB45">
        <v>1.125415916417797E-2</v>
      </c>
      <c r="AC45">
        <v>9.808343303743406E-3</v>
      </c>
      <c r="AD45">
        <v>7.0907441931843222E-3</v>
      </c>
      <c r="AE45">
        <v>4.3516363442072494E-3</v>
      </c>
      <c r="AF45">
        <v>9.6586299999999996E-4</v>
      </c>
      <c r="AH45" cm="1">
        <f t="array" ref="AH45">_xlfn.IFS($B$11=$Z$13,AB45,$B$11=$Z$50,AT45,$B$11=$Z$99,AZ45,$B$11=$Z$139,AN45)</f>
        <v>1.125415916417797E-2</v>
      </c>
      <c r="AI45" cm="1">
        <f t="array" ref="AI45">_xlfn.IFS($B$11=$Z$13,AC45,$B$11=$Z$50,AU45,$B$11=$Z$99,BA45,$B$11=$Z$139,AO45)</f>
        <v>9.808343303743406E-3</v>
      </c>
      <c r="AJ45" cm="1">
        <f t="array" ref="AJ45">_xlfn.IFS($B$11=$Z$13,AD45,$B$11=$Z$50,AV45,$B$11=$Z$99,BB45,$B$11=$Z$139,AP45)</f>
        <v>7.0907441931843222E-3</v>
      </c>
      <c r="AK45" cm="1">
        <f t="array" ref="AK45">_xlfn.IFS($B$11=$Z$13,AE45,$B$11=$Z$50,AW45,$B$11=$Z$99,BC45,$B$11=$Z$139,AQ45)</f>
        <v>4.3516363442072494E-3</v>
      </c>
      <c r="AL45" cm="1">
        <f t="array" ref="AL45">_xlfn.IFS($B$11=$Z$13,AF45,$B$11=$Z$50,AX45,$B$11=$Z$99,BD45,$B$11=$Z$139,AR45)</f>
        <v>9.6586299999999996E-4</v>
      </c>
      <c r="AN45" t="e" cm="1">
        <f t="array" ref="AN45">IF($V$140=$V$142,_xlfn.IFS($X$100=$W$102,AB177,$X$100=$AI$102,AN177,$X$100=$AU$102,AZ177,$X$100=$BG$102,BL177,$X$100=$BS$102,BX177,$X$100=$CE$102,CJ177),_xlfn.IFS($X$100=$W$102,AB217,$X$100=$AI$102,AN217,$X$100=$AU$102,AZ217,$X$100=$BG$102,BL217,$X$100=$BS$102,BX217,$X$100=$CE$102,CJ217))</f>
        <v>#N/A</v>
      </c>
      <c r="AO45" t="e" cm="1">
        <f t="array" ref="AO45">IF($V$140=$V$142,_xlfn.IFS($X$100=$W$102,AC177,$X$100=$AI$102,AO177,$X$100=$AU$102,BA177,$X$100=$BG$102,BM177,$X$100=$BS$102,BY177,$X$100=$CE$102,CK177),_xlfn.IFS($X$100=$W$102,AC217,$X$100=$AI$102,AO217,$X$100=$AU$102,BA217,$X$100=$BG$102,BM217,$X$100=$BS$102,BY217,$X$100=$CE$102,CK217))</f>
        <v>#N/A</v>
      </c>
      <c r="AP45" t="e" cm="1">
        <f t="array" ref="AP45">IF($V$140=$V$142,_xlfn.IFS($X$100=$W$102,AD177,$X$100=$AI$102,AP177,$X$100=$AU$102,BB177,$X$100=$BG$102,BN177,$X$100=$BS$102,BZ177,$X$100=$CE$102,CL177),_xlfn.IFS($X$100=$W$102,AD217,$X$100=$AI$102,AP217,$X$100=$AU$102,BB217,$X$100=$BG$102,BN217,$X$100=$BS$102,BZ217,$X$100=$CE$102,CL217))</f>
        <v>#N/A</v>
      </c>
      <c r="AQ45" t="e" cm="1">
        <f t="array" ref="AQ45">IF($V$140=$V$142,_xlfn.IFS($X$100=$W$102,AE177,$X$100=$AI$102,AQ177,$X$100=$AU$102,BC177,$X$100=$BG$102,BO177,$X$100=$BS$102,CA177,$X$100=$CE$102,CM177),_xlfn.IFS($X$100=$W$102,AE217,$X$100=$AI$102,AQ217,$X$100=$AU$102,BC217,$X$100=$BG$102,BO217,$X$100=$BS$102,CA217,$X$100=$CE$102,CM217))</f>
        <v>#N/A</v>
      </c>
      <c r="AR45" t="e" cm="1">
        <f t="array" ref="AR45">IF($V$140=$V$142,_xlfn.IFS($X$100=$W$102,AF177,$X$100=$AI$102,AR177,$X$100=$AU$102,BD177,$X$100=$BG$102,BP177,$X$100=$BS$102,CB177,$X$100=$CE$102,CN177),_xlfn.IFS($X$100=$W$102,AF217,$X$100=$AI$102,AR217,$X$100=$AU$102,BD217,$X$100=$BG$102,BP217,$X$100=$BS$102,CB217,$X$100=$CE$102,CN217))</f>
        <v>#N/A</v>
      </c>
      <c r="AT45">
        <f t="shared" si="2"/>
        <v>1.5827904542398082E-2</v>
      </c>
      <c r="AU45">
        <f t="shared" si="7"/>
        <v>1.1440280899849491E-2</v>
      </c>
      <c r="AV45">
        <f t="shared" si="8"/>
        <v>7.9680276613874283E-3</v>
      </c>
      <c r="AW45">
        <f t="shared" si="9"/>
        <v>5.3490638080935203E-3</v>
      </c>
      <c r="AX45">
        <f t="shared" si="10"/>
        <v>8.5658625333919923E-4</v>
      </c>
      <c r="AZ45" t="e" cm="1">
        <f t="array" ref="AZ45">_xlfn.IFS($X$100=$W$102,AB134,$X$100=$AI$102,AN134,$X$100=$AU$102,AZ134,$X$100=$BG$102,BL134,$X$100=$BS$102,BX134,$X$100=$CE$102,CJ134)</f>
        <v>#N/A</v>
      </c>
      <c r="BA45" t="e" cm="1">
        <f t="array" ref="BA45">_xlfn.IFS($X$100=$W$102,AC134,$X$100=$AI$102,AO134,$X$100=$AU$102,BA134,$X$100=$BG$102,BM134,$X$100=$BS$102,BY134,$X$100=$CE$102,CK134)</f>
        <v>#N/A</v>
      </c>
      <c r="BB45" t="e" cm="1">
        <f t="array" ref="BB45">_xlfn.IFS($X$100=$W$102,AD134,$X$100=$AI$102,AP134,$X$100=$AU$102,BB134,$X$100=$BG$102,BN134,$X$100=$BS$102,BZ134,$X$100=$CE$102,CL134)</f>
        <v>#N/A</v>
      </c>
      <c r="BC45" t="e" cm="1">
        <f t="array" ref="BC45">_xlfn.IFS($X$100=$W$102,AE134,$X$100=$AI$102,AQ134,$X$100=$AU$102,BC134,$X$100=$BG$102,BO134,$X$100=$BS$102,CA134,$X$100=$CE$102,CM134)</f>
        <v>#N/A</v>
      </c>
      <c r="BD45" t="e" cm="1">
        <f t="array" ref="BD45">_xlfn.IFS($X$100=$W$102,AF134,$X$100=$AI$102,AR134,$X$100=$AU$102,BD134,$X$100=$BG$102,BP134,$X$100=$BS$102,CB134,$X$100=$CE$102,CN134)</f>
        <v>#N/A</v>
      </c>
    </row>
    <row r="46" spans="1:56" x14ac:dyDescent="0.2">
      <c r="A46" s="4" t="s">
        <v>19</v>
      </c>
      <c r="U46" s="86">
        <f t="shared" si="3"/>
        <v>34</v>
      </c>
      <c r="AA46" s="10">
        <f t="shared" si="4"/>
        <v>19</v>
      </c>
      <c r="AB46">
        <v>1.3183161625873919E-2</v>
      </c>
      <c r="AC46">
        <v>1.271458385389589E-2</v>
      </c>
      <c r="AD46">
        <v>1.015577160756006E-2</v>
      </c>
      <c r="AE46">
        <v>5.2967028738727193E-3</v>
      </c>
      <c r="AF46">
        <v>1.9841910000000002E-3</v>
      </c>
      <c r="AH46" cm="1">
        <f t="array" ref="AH46">_xlfn.IFS($B$11=$Z$13,AB46,$B$11=$Z$50,AT46,$B$11=$Z$99,AZ46,$B$11=$Z$139,AN46)</f>
        <v>1.3183161625873919E-2</v>
      </c>
      <c r="AI46" cm="1">
        <f t="array" ref="AI46">_xlfn.IFS($B$11=$Z$13,AC46,$B$11=$Z$50,AU46,$B$11=$Z$99,BA46,$B$11=$Z$139,AO46)</f>
        <v>1.271458385389589E-2</v>
      </c>
      <c r="AJ46" cm="1">
        <f t="array" ref="AJ46">_xlfn.IFS($B$11=$Z$13,AD46,$B$11=$Z$50,AV46,$B$11=$Z$99,BB46,$B$11=$Z$139,AP46)</f>
        <v>1.015577160756006E-2</v>
      </c>
      <c r="AK46" cm="1">
        <f t="array" ref="AK46">_xlfn.IFS($B$11=$Z$13,AE46,$B$11=$Z$50,AW46,$B$11=$Z$99,BC46,$B$11=$Z$139,AQ46)</f>
        <v>5.2967028738727193E-3</v>
      </c>
      <c r="AL46" cm="1">
        <f t="array" ref="AL46">_xlfn.IFS($B$11=$Z$13,AF46,$B$11=$Z$50,AX46,$B$11=$Z$99,BD46,$B$11=$Z$139,AR46)</f>
        <v>1.9841910000000002E-3</v>
      </c>
      <c r="AN46" t="e" cm="1">
        <f t="array" ref="AN46">IF($V$140=$V$142,_xlfn.IFS($X$100=$W$102,AB178,$X$100=$AI$102,AN178,$X$100=$AU$102,AZ178,$X$100=$BG$102,BL178,$X$100=$BS$102,BX178,$X$100=$CE$102,CJ178),_xlfn.IFS($X$100=$W$102,AB218,$X$100=$AI$102,AN218,$X$100=$AU$102,AZ218,$X$100=$BG$102,BL218,$X$100=$BS$102,BX218,$X$100=$CE$102,CJ218))</f>
        <v>#N/A</v>
      </c>
      <c r="AO46" t="e" cm="1">
        <f t="array" ref="AO46">IF($V$140=$V$142,_xlfn.IFS($X$100=$W$102,AC178,$X$100=$AI$102,AO178,$X$100=$AU$102,BA178,$X$100=$BG$102,BM178,$X$100=$BS$102,BY178,$X$100=$CE$102,CK178),_xlfn.IFS($X$100=$W$102,AC218,$X$100=$AI$102,AO218,$X$100=$AU$102,BA218,$X$100=$BG$102,BM218,$X$100=$BS$102,BY218,$X$100=$CE$102,CK218))</f>
        <v>#N/A</v>
      </c>
      <c r="AP46" t="e" cm="1">
        <f t="array" ref="AP46">IF($V$140=$V$142,_xlfn.IFS($X$100=$W$102,AD178,$X$100=$AI$102,AP178,$X$100=$AU$102,BB178,$X$100=$BG$102,BN178,$X$100=$BS$102,BZ178,$X$100=$CE$102,CL178),_xlfn.IFS($X$100=$W$102,AD218,$X$100=$AI$102,AP218,$X$100=$AU$102,BB218,$X$100=$BG$102,BN218,$X$100=$BS$102,BZ218,$X$100=$CE$102,CL218))</f>
        <v>#N/A</v>
      </c>
      <c r="AQ46" t="e" cm="1">
        <f t="array" ref="AQ46">IF($V$140=$V$142,_xlfn.IFS($X$100=$W$102,AE178,$X$100=$AI$102,AQ178,$X$100=$AU$102,BC178,$X$100=$BG$102,BO178,$X$100=$BS$102,CA178,$X$100=$CE$102,CM178),_xlfn.IFS($X$100=$W$102,AE218,$X$100=$AI$102,AQ218,$X$100=$AU$102,BC218,$X$100=$BG$102,BO218,$X$100=$BS$102,CA218,$X$100=$CE$102,CM218))</f>
        <v>#N/A</v>
      </c>
      <c r="AR46" t="e" cm="1">
        <f t="array" ref="AR46">IF($V$140=$V$142,_xlfn.IFS($X$100=$W$102,AF178,$X$100=$AI$102,AR178,$X$100=$AU$102,BD178,$X$100=$BG$102,BP178,$X$100=$BS$102,CB178,$X$100=$CE$102,CN178),_xlfn.IFS($X$100=$W$102,AF218,$X$100=$AI$102,AR218,$X$100=$AU$102,BD218,$X$100=$BG$102,BP218,$X$100=$BS$102,CB218,$X$100=$CE$102,CN218))</f>
        <v>#N/A</v>
      </c>
      <c r="AT46">
        <f t="shared" si="2"/>
        <v>1.8248720612327501E-2</v>
      </c>
      <c r="AU46">
        <f t="shared" si="7"/>
        <v>1.4089811154853121E-2</v>
      </c>
      <c r="AV46">
        <f t="shared" si="8"/>
        <v>1.092396564025537E-2</v>
      </c>
      <c r="AW46">
        <f t="shared" si="9"/>
        <v>6.0634563587397576E-3</v>
      </c>
      <c r="AX46">
        <f t="shared" si="10"/>
        <v>2.260961271757156E-3</v>
      </c>
      <c r="AZ46" t="e" cm="1">
        <f t="array" ref="AZ46">_xlfn.IFS($X$100=$W$102,AB135,$X$100=$AI$102,AN135,$X$100=$AU$102,AZ135,$X$100=$BG$102,BL135,$X$100=$BS$102,BX135,$X$100=$CE$102,CJ135)</f>
        <v>#N/A</v>
      </c>
      <c r="BA46" t="e" cm="1">
        <f t="array" ref="BA46">_xlfn.IFS($X$100=$W$102,AC135,$X$100=$AI$102,AO135,$X$100=$AU$102,BA135,$X$100=$BG$102,BM135,$X$100=$BS$102,BY135,$X$100=$CE$102,CK135)</f>
        <v>#N/A</v>
      </c>
      <c r="BB46" t="e" cm="1">
        <f t="array" ref="BB46">_xlfn.IFS($X$100=$W$102,AD135,$X$100=$AI$102,AP135,$X$100=$AU$102,BB135,$X$100=$BG$102,BN135,$X$100=$BS$102,BZ135,$X$100=$CE$102,CL135)</f>
        <v>#N/A</v>
      </c>
      <c r="BC46" t="e" cm="1">
        <f t="array" ref="BC46">_xlfn.IFS($X$100=$W$102,AE135,$X$100=$AI$102,AQ135,$X$100=$AU$102,BC135,$X$100=$BG$102,BO135,$X$100=$BS$102,CA135,$X$100=$CE$102,CM135)</f>
        <v>#N/A</v>
      </c>
      <c r="BD46" t="e" cm="1">
        <f t="array" ref="BD46">_xlfn.IFS($X$100=$W$102,AF135,$X$100=$AI$102,AR135,$X$100=$AU$102,BD135,$X$100=$BG$102,BP135,$X$100=$BS$102,CB135,$X$100=$CE$102,CN135)</f>
        <v>#N/A</v>
      </c>
    </row>
    <row r="47" spans="1:56" x14ac:dyDescent="0.2">
      <c r="A47" s="4" t="s">
        <v>6</v>
      </c>
      <c r="B47">
        <v>0</v>
      </c>
      <c r="C47" s="22">
        <v>4.7250519999999998</v>
      </c>
      <c r="D47" s="22">
        <v>4.4725869999999999</v>
      </c>
      <c r="E47" s="22">
        <v>4.2407589999999997</v>
      </c>
      <c r="F47" s="22">
        <v>3.9884089999999999</v>
      </c>
      <c r="G47" s="22">
        <v>2.9533269999999998</v>
      </c>
      <c r="I47" s="22"/>
      <c r="J47" s="22"/>
      <c r="K47" s="22"/>
      <c r="L47" s="22"/>
      <c r="M47" s="22"/>
      <c r="O47" s="65">
        <v>0.21807969999999999</v>
      </c>
      <c r="P47" s="22">
        <v>0.2103527</v>
      </c>
      <c r="Q47" s="22">
        <v>0.2067129</v>
      </c>
      <c r="R47" s="22">
        <v>0.20737649999999999</v>
      </c>
      <c r="S47" s="22">
        <v>0.167465</v>
      </c>
      <c r="U47" s="86">
        <f t="shared" si="3"/>
        <v>35</v>
      </c>
      <c r="AA47" s="10">
        <f t="shared" si="4"/>
        <v>19.5</v>
      </c>
      <c r="AB47">
        <v>1.5340614294307201E-2</v>
      </c>
      <c r="AC47">
        <v>1.5753301078894801E-2</v>
      </c>
      <c r="AD47">
        <v>1.366870563500013E-2</v>
      </c>
      <c r="AE47">
        <v>6.3439371613248693E-3</v>
      </c>
      <c r="AF47">
        <v>3.7538350000000001E-3</v>
      </c>
      <c r="AH47" cm="1">
        <f t="array" ref="AH47">_xlfn.IFS($B$11=$Z$13,AB47,$B$11=$Z$50,AT47,$B$11=$Z$99,AZ47,$B$11=$Z$139,AN47)</f>
        <v>1.5340614294307201E-2</v>
      </c>
      <c r="AI47" cm="1">
        <f t="array" ref="AI47">_xlfn.IFS($B$11=$Z$13,AC47,$B$11=$Z$50,AU47,$B$11=$Z$99,BA47,$B$11=$Z$139,AO47)</f>
        <v>1.5753301078894801E-2</v>
      </c>
      <c r="AJ47" cm="1">
        <f t="array" ref="AJ47">_xlfn.IFS($B$11=$Z$13,AD47,$B$11=$Z$50,AV47,$B$11=$Z$99,BB47,$B$11=$Z$139,AP47)</f>
        <v>1.366870563500013E-2</v>
      </c>
      <c r="AK47" cm="1">
        <f t="array" ref="AK47">_xlfn.IFS($B$11=$Z$13,AE47,$B$11=$Z$50,AW47,$B$11=$Z$99,BC47,$B$11=$Z$139,AQ47)</f>
        <v>6.3439371613248693E-3</v>
      </c>
      <c r="AL47" cm="1">
        <f t="array" ref="AL47">_xlfn.IFS($B$11=$Z$13,AF47,$B$11=$Z$50,AX47,$B$11=$Z$99,BD47,$B$11=$Z$139,AR47)</f>
        <v>3.7538350000000001E-3</v>
      </c>
      <c r="AN47" t="e" cm="1">
        <f t="array" ref="AN47">IF($V$140=$V$142,_xlfn.IFS($X$100=$W$102,AB179,$X$100=$AI$102,AN179,$X$100=$AU$102,AZ179,$X$100=$BG$102,BL179,$X$100=$BS$102,BX179,$X$100=$CE$102,CJ179),_xlfn.IFS($X$100=$W$102,AB219,$X$100=$AI$102,AN219,$X$100=$AU$102,AZ219,$X$100=$BG$102,BL219,$X$100=$BS$102,BX219,$X$100=$CE$102,CJ219))</f>
        <v>#N/A</v>
      </c>
      <c r="AO47" t="e" cm="1">
        <f t="array" ref="AO47">IF($V$140=$V$142,_xlfn.IFS($X$100=$W$102,AC179,$X$100=$AI$102,AO179,$X$100=$AU$102,BA179,$X$100=$BG$102,BM179,$X$100=$BS$102,BY179,$X$100=$CE$102,CK179),_xlfn.IFS($X$100=$W$102,AC219,$X$100=$AI$102,AO219,$X$100=$AU$102,BA219,$X$100=$BG$102,BM219,$X$100=$BS$102,BY219,$X$100=$CE$102,CK219))</f>
        <v>#N/A</v>
      </c>
      <c r="AP47" t="e" cm="1">
        <f t="array" ref="AP47">IF($V$140=$V$142,_xlfn.IFS($X$100=$W$102,AD179,$X$100=$AI$102,AP179,$X$100=$AU$102,BB179,$X$100=$BG$102,BN179,$X$100=$BS$102,BZ179,$X$100=$CE$102,CL179),_xlfn.IFS($X$100=$W$102,AD219,$X$100=$AI$102,AP219,$X$100=$AU$102,BB219,$X$100=$BG$102,BN219,$X$100=$BS$102,BZ219,$X$100=$CE$102,CL219))</f>
        <v>#N/A</v>
      </c>
      <c r="AQ47" t="e" cm="1">
        <f t="array" ref="AQ47">IF($V$140=$V$142,_xlfn.IFS($X$100=$W$102,AE179,$X$100=$AI$102,AQ179,$X$100=$AU$102,BC179,$X$100=$BG$102,BO179,$X$100=$BS$102,CA179,$X$100=$CE$102,CM179),_xlfn.IFS($X$100=$W$102,AE219,$X$100=$AI$102,AQ219,$X$100=$AU$102,BC219,$X$100=$BG$102,BO219,$X$100=$BS$102,CA219,$X$100=$CE$102,CM219))</f>
        <v>#N/A</v>
      </c>
      <c r="AR47" t="e" cm="1">
        <f t="array" ref="AR47">IF($V$140=$V$142,_xlfn.IFS($X$100=$W$102,AF179,$X$100=$AI$102,AR179,$X$100=$AU$102,BD179,$X$100=$BG$102,BP179,$X$100=$BS$102,CB179,$X$100=$CE$102,CN179),_xlfn.IFS($X$100=$W$102,AF219,$X$100=$AI$102,AR219,$X$100=$AU$102,BD219,$X$100=$BG$102,BP219,$X$100=$BS$102,CB219,$X$100=$CE$102,CN219))</f>
        <v>#N/A</v>
      </c>
      <c r="AT47">
        <f t="shared" si="2"/>
        <v>2.0177991084387101E-2</v>
      </c>
      <c r="AU47">
        <f t="shared" si="7"/>
        <v>1.6441095210634391E-2</v>
      </c>
      <c r="AV47">
        <f t="shared" si="8"/>
        <v>1.38356263283161E-2</v>
      </c>
      <c r="AW47">
        <f t="shared" si="9"/>
        <v>6.9821640952588328E-3</v>
      </c>
      <c r="AX47">
        <f t="shared" si="10"/>
        <v>4.1739479097562772E-3</v>
      </c>
      <c r="AZ47" t="e" cm="1">
        <f t="array" ref="AZ47">_xlfn.IFS($X$100=$W$102,AB136,$X$100=$AI$102,AN136,$X$100=$AU$102,AZ136,$X$100=$BG$102,BL136,$X$100=$BS$102,BX136,$X$100=$CE$102,CJ136)</f>
        <v>#N/A</v>
      </c>
      <c r="BA47" t="e" cm="1">
        <f t="array" ref="BA47">_xlfn.IFS($X$100=$W$102,AC136,$X$100=$AI$102,AO136,$X$100=$AU$102,BA136,$X$100=$BG$102,BM136,$X$100=$BS$102,BY136,$X$100=$CE$102,CK136)</f>
        <v>#N/A</v>
      </c>
      <c r="BB47" t="e" cm="1">
        <f t="array" ref="BB47">_xlfn.IFS($X$100=$W$102,AD136,$X$100=$AI$102,AP136,$X$100=$AU$102,BB136,$X$100=$BG$102,BN136,$X$100=$BS$102,BZ136,$X$100=$CE$102,CL136)</f>
        <v>#N/A</v>
      </c>
      <c r="BC47" t="e" cm="1">
        <f t="array" ref="BC47">_xlfn.IFS($X$100=$W$102,AE136,$X$100=$AI$102,AQ136,$X$100=$AU$102,BC136,$X$100=$BG$102,BO136,$X$100=$BS$102,CA136,$X$100=$CE$102,CM136)</f>
        <v>#N/A</v>
      </c>
      <c r="BD47" t="e" cm="1">
        <f t="array" ref="BD47">_xlfn.IFS($X$100=$W$102,AF136,$X$100=$AI$102,AR136,$X$100=$AU$102,BD136,$X$100=$BG$102,BP136,$X$100=$BS$102,CB136,$X$100=$CE$102,CN136)</f>
        <v>#N/A</v>
      </c>
    </row>
    <row r="48" spans="1:56" x14ac:dyDescent="0.2">
      <c r="A48" s="4" t="s">
        <v>5</v>
      </c>
      <c r="B48">
        <v>1</v>
      </c>
      <c r="C48" s="22">
        <v>4.1329320000000003</v>
      </c>
      <c r="D48" s="22">
        <v>4.2286869999999999</v>
      </c>
      <c r="E48" s="22">
        <v>4.2310249999999998</v>
      </c>
      <c r="F48" s="22">
        <v>3.6143290000000001</v>
      </c>
      <c r="G48" s="22">
        <v>3.0837789999999998</v>
      </c>
      <c r="I48" s="22"/>
      <c r="J48" s="22"/>
      <c r="K48" s="22"/>
      <c r="L48" s="22"/>
      <c r="M48" s="22"/>
      <c r="O48" s="65">
        <v>0.2000904</v>
      </c>
      <c r="P48" s="22">
        <v>0.20375550000000001</v>
      </c>
      <c r="Q48" s="22">
        <v>0.20786650000000001</v>
      </c>
      <c r="R48" s="22">
        <v>0.19173580000000001</v>
      </c>
      <c r="S48" s="22">
        <v>0.1698076</v>
      </c>
      <c r="U48" s="86">
        <f t="shared" si="3"/>
        <v>36</v>
      </c>
      <c r="AA48" s="10">
        <f t="shared" si="4"/>
        <v>20</v>
      </c>
      <c r="AB48">
        <v>1.6081766449707428E-2</v>
      </c>
      <c r="AC48">
        <v>1.6772428333931871E-2</v>
      </c>
      <c r="AD48">
        <v>1.537675169252266E-2</v>
      </c>
      <c r="AE48">
        <v>6.9529989883356227E-3</v>
      </c>
      <c r="AF48">
        <v>4.7889760000000003E-3</v>
      </c>
      <c r="AH48" cm="1">
        <f t="array" ref="AH48">_xlfn.IFS($B$11=$Z$13,AB48,$B$11=$Z$50,AT48,$B$11=$Z$99,AZ48,$B$11=$Z$139,AN48)</f>
        <v>1.6081766449707428E-2</v>
      </c>
      <c r="AI48" cm="1">
        <f t="array" ref="AI48">_xlfn.IFS($B$11=$Z$13,AC48,$B$11=$Z$50,AU48,$B$11=$Z$99,BA48,$B$11=$Z$139,AO48)</f>
        <v>1.6772428333931871E-2</v>
      </c>
      <c r="AJ48" cm="1">
        <f t="array" ref="AJ48">_xlfn.IFS($B$11=$Z$13,AD48,$B$11=$Z$50,AV48,$B$11=$Z$99,BB48,$B$11=$Z$139,AP48)</f>
        <v>1.537675169252266E-2</v>
      </c>
      <c r="AK48" cm="1">
        <f t="array" ref="AK48">_xlfn.IFS($B$11=$Z$13,AE48,$B$11=$Z$50,AW48,$B$11=$Z$99,BC48,$B$11=$Z$139,AQ48)</f>
        <v>6.9529989883356227E-3</v>
      </c>
      <c r="AL48" cm="1">
        <f t="array" ref="AL48">_xlfn.IFS($B$11=$Z$13,AF48,$B$11=$Z$50,AX48,$B$11=$Z$99,BD48,$B$11=$Z$139,AR48)</f>
        <v>4.7889760000000003E-3</v>
      </c>
      <c r="AN48" t="e" cm="1">
        <f t="array" ref="AN48">IF($V$140=$V$142,_xlfn.IFS($X$100=$W$102,AB180,$X$100=$AI$102,AN180,$X$100=$AU$102,AZ180,$X$100=$BG$102,BL180,$X$100=$BS$102,BX180,$X$100=$CE$102,CJ180),_xlfn.IFS($X$100=$W$102,AB220,$X$100=$AI$102,AN220,$X$100=$AU$102,AZ220,$X$100=$BG$102,BL220,$X$100=$BS$102,BX220,$X$100=$CE$102,CJ220))</f>
        <v>#N/A</v>
      </c>
      <c r="AO48" t="e" cm="1">
        <f t="array" ref="AO48">IF($V$140=$V$142,_xlfn.IFS($X$100=$W$102,AC180,$X$100=$AI$102,AO180,$X$100=$AU$102,BA180,$X$100=$BG$102,BM180,$X$100=$BS$102,BY180,$X$100=$CE$102,CK180),_xlfn.IFS($X$100=$W$102,AC220,$X$100=$AI$102,AO220,$X$100=$AU$102,BA220,$X$100=$BG$102,BM220,$X$100=$BS$102,BY220,$X$100=$CE$102,CK220))</f>
        <v>#N/A</v>
      </c>
      <c r="AP48" t="e" cm="1">
        <f t="array" ref="AP48">IF($V$140=$V$142,_xlfn.IFS($X$100=$W$102,AD180,$X$100=$AI$102,AP180,$X$100=$AU$102,BB180,$X$100=$BG$102,BN180,$X$100=$BS$102,BZ180,$X$100=$CE$102,CL180),_xlfn.IFS($X$100=$W$102,AD220,$X$100=$AI$102,AP220,$X$100=$AU$102,BB220,$X$100=$BG$102,BN220,$X$100=$BS$102,BZ220,$X$100=$CE$102,CL220))</f>
        <v>#N/A</v>
      </c>
      <c r="AQ48" t="e" cm="1">
        <f t="array" ref="AQ48">IF($V$140=$V$142,_xlfn.IFS($X$100=$W$102,AE180,$X$100=$AI$102,AQ180,$X$100=$AU$102,BC180,$X$100=$BG$102,BO180,$X$100=$BS$102,CA180,$X$100=$CE$102,CM180),_xlfn.IFS($X$100=$W$102,AE220,$X$100=$AI$102,AQ220,$X$100=$AU$102,BC220,$X$100=$BG$102,BO220,$X$100=$BS$102,CA220,$X$100=$CE$102,CM220))</f>
        <v>#N/A</v>
      </c>
      <c r="AR48" t="e" cm="1">
        <f t="array" ref="AR48">IF($V$140=$V$142,_xlfn.IFS($X$100=$W$102,AF180,$X$100=$AI$102,AR180,$X$100=$AU$102,BD180,$X$100=$BG$102,BP180,$X$100=$BS$102,CB180,$X$100=$CE$102,CN180),_xlfn.IFS($X$100=$W$102,AF220,$X$100=$AI$102,AR220,$X$100=$AU$102,BD220,$X$100=$BG$102,BP220,$X$100=$BS$102,CB220,$X$100=$CE$102,CN220))</f>
        <v>#N/A</v>
      </c>
      <c r="AT48">
        <f t="shared" si="2"/>
        <v>2.1396500047501769E-2</v>
      </c>
      <c r="AU48">
        <f t="shared" si="7"/>
        <v>1.75044157097488E-2</v>
      </c>
      <c r="AV48">
        <f t="shared" si="8"/>
        <v>1.5030214839427019E-2</v>
      </c>
      <c r="AW48">
        <f t="shared" si="9"/>
        <v>7.2748669123583812E-3</v>
      </c>
      <c r="AX48">
        <f t="shared" si="10"/>
        <v>4.8762507337200061E-3</v>
      </c>
      <c r="AZ48" t="e" cm="1">
        <f t="array" ref="AZ48">_xlfn.IFS($X$100=$W$102,AB137,$X$100=$AI$102,AN137,$X$100=$AU$102,AZ137,$X$100=$BG$102,BL137,$X$100=$BS$102,BX137,$X$100=$CE$102,CJ137)</f>
        <v>#N/A</v>
      </c>
      <c r="BA48" t="e" cm="1">
        <f t="array" ref="BA48">_xlfn.IFS($X$100=$W$102,AC137,$X$100=$AI$102,AO137,$X$100=$AU$102,BA137,$X$100=$BG$102,BM137,$X$100=$BS$102,BY137,$X$100=$CE$102,CK137)</f>
        <v>#N/A</v>
      </c>
      <c r="BB48" t="e" cm="1">
        <f t="array" ref="BB48">_xlfn.IFS($X$100=$W$102,AD137,$X$100=$AI$102,AP137,$X$100=$AU$102,BB137,$X$100=$BG$102,BN137,$X$100=$BS$102,BZ137,$X$100=$CE$102,CL137)</f>
        <v>#N/A</v>
      </c>
      <c r="BC48" t="e" cm="1">
        <f t="array" ref="BC48">_xlfn.IFS($X$100=$W$102,AE137,$X$100=$AI$102,AQ137,$X$100=$AU$102,BC137,$X$100=$BG$102,BO137,$X$100=$BS$102,CA137,$X$100=$CE$102,CM137)</f>
        <v>#N/A</v>
      </c>
      <c r="BD48" t="e" cm="1">
        <f t="array" ref="BD48">_xlfn.IFS($X$100=$W$102,AF137,$X$100=$AI$102,AR137,$X$100=$AU$102,BD137,$X$100=$BG$102,BP137,$X$100=$BS$102,CB137,$X$100=$CE$102,CN137)</f>
        <v>#N/A</v>
      </c>
    </row>
    <row r="49" spans="1:44" x14ac:dyDescent="0.2">
      <c r="A49" s="4" t="s">
        <v>60</v>
      </c>
      <c r="C49" s="10">
        <f>IF($B$38=0,C47,C48)</f>
        <v>4.7250519999999998</v>
      </c>
      <c r="D49" s="10">
        <f>IF($B$38=0,D47,D48)</f>
        <v>4.4725869999999999</v>
      </c>
      <c r="E49" s="10">
        <f>IF($B$38=0,E47,E48)</f>
        <v>4.2407589999999997</v>
      </c>
      <c r="F49" s="10">
        <f>IF($B$38=0,F47,F48)</f>
        <v>3.9884089999999999</v>
      </c>
      <c r="G49" s="10">
        <f>IF($B$38=0,G47,G48)</f>
        <v>2.9533269999999998</v>
      </c>
      <c r="H49" s="10"/>
      <c r="I49" s="10">
        <f>IF($B$38=0,I47,I48)</f>
        <v>0</v>
      </c>
      <c r="J49" s="10">
        <f>IF($B$38=0,J47,J48)</f>
        <v>0</v>
      </c>
      <c r="K49" s="10">
        <f>IF($B$38=0,K47,K48)</f>
        <v>0</v>
      </c>
      <c r="L49" s="10">
        <f>IF($B$38=0,L47,L48)</f>
        <v>0</v>
      </c>
      <c r="M49" s="10">
        <f>IF($B$38=0,M47,M48)</f>
        <v>0</v>
      </c>
      <c r="O49" s="9">
        <f>IF($B$38=0,O47,O48)</f>
        <v>0.21807969999999999</v>
      </c>
      <c r="P49" s="9">
        <f>IF($B$38=0,P47,P48)</f>
        <v>0.2103527</v>
      </c>
      <c r="Q49" s="9">
        <f>IF($B$38=0,Q47,Q48)</f>
        <v>0.2067129</v>
      </c>
      <c r="R49" s="9">
        <f>IF($B$38=0,R47,R48)</f>
        <v>0.20737649999999999</v>
      </c>
      <c r="S49" s="9">
        <f>IF($B$38=0,S47,S48)</f>
        <v>0.167465</v>
      </c>
      <c r="U49" s="86"/>
      <c r="AA49" s="10"/>
    </row>
    <row r="50" spans="1:44" s="34" customFormat="1" x14ac:dyDescent="0.2">
      <c r="A50" s="63"/>
      <c r="U50" s="11" t="s">
        <v>14</v>
      </c>
      <c r="V50" s="12"/>
      <c r="W50" s="12"/>
      <c r="X50" s="90"/>
      <c r="Y50" s="90" t="s">
        <v>206</v>
      </c>
      <c r="Z50" s="12">
        <v>2</v>
      </c>
      <c r="AA50" s="12"/>
      <c r="AB50" s="12"/>
      <c r="AC50" s="11"/>
      <c r="AD50" s="12"/>
      <c r="AE50" s="12"/>
      <c r="AF50" s="12"/>
      <c r="AG50" s="12"/>
      <c r="AH50" s="12"/>
      <c r="AI50" s="11"/>
      <c r="AJ50" s="12"/>
      <c r="AK50" s="12"/>
      <c r="AL50" s="12"/>
      <c r="AM50" s="12"/>
    </row>
    <row r="51" spans="1:44" s="64" customFormat="1" ht="15" x14ac:dyDescent="0.25">
      <c r="A51" s="64" t="s">
        <v>135</v>
      </c>
      <c r="T51" s="73"/>
      <c r="U51" t="s">
        <v>13</v>
      </c>
      <c r="V51">
        <f>D9</f>
        <v>0</v>
      </c>
      <c r="W51" s="4" t="s">
        <v>207</v>
      </c>
      <c r="X51">
        <v>0</v>
      </c>
      <c r="Y51" s="4" t="s">
        <v>208</v>
      </c>
      <c r="Z51">
        <v>1</v>
      </c>
      <c r="AA51"/>
      <c r="AB51"/>
      <c r="AC51"/>
      <c r="AD51"/>
      <c r="AE51"/>
      <c r="AF51"/>
      <c r="AG51"/>
      <c r="AH51"/>
      <c r="AI51"/>
      <c r="AJ51"/>
      <c r="AK51"/>
      <c r="AL51"/>
      <c r="AM51"/>
    </row>
    <row r="52" spans="1:44" hidden="1" x14ac:dyDescent="0.2">
      <c r="A52" s="4" t="s">
        <v>61</v>
      </c>
      <c r="I52">
        <f>IF($B$38=0,I60,I61)</f>
        <v>0</v>
      </c>
      <c r="J52">
        <f>IF($B$38=0,J60,J61)</f>
        <v>0</v>
      </c>
      <c r="K52">
        <f>IF($B$38=0,K60,K61)</f>
        <v>0</v>
      </c>
      <c r="L52">
        <f>IF($B$38=0,L60,L61)</f>
        <v>0</v>
      </c>
      <c r="M52">
        <f>IF($B$38=0,M60,M61)</f>
        <v>0</v>
      </c>
      <c r="O52">
        <f>IF($B$38=0,O60,O61)</f>
        <v>0</v>
      </c>
      <c r="P52">
        <f>IF($B$38=0,P60,P61)</f>
        <v>0</v>
      </c>
      <c r="Q52">
        <f>IF($B$38=0,Q60,Q61)</f>
        <v>0</v>
      </c>
      <c r="R52">
        <f>IF($B$38=0,R60,R61)</f>
        <v>0</v>
      </c>
      <c r="S52">
        <f>IF($B$38=0,S60,S61)</f>
        <v>0</v>
      </c>
    </row>
    <row r="53" spans="1:44" hidden="1" x14ac:dyDescent="0.2">
      <c r="A53" s="4" t="s">
        <v>137</v>
      </c>
    </row>
    <row r="54" spans="1:44" hidden="1" x14ac:dyDescent="0.2">
      <c r="A54" s="4" t="s">
        <v>16</v>
      </c>
      <c r="C54" s="62"/>
      <c r="D54" s="62"/>
      <c r="E54" s="62"/>
      <c r="F54" s="62"/>
      <c r="G54" s="62"/>
      <c r="I54" s="22"/>
      <c r="J54" s="22"/>
      <c r="K54" s="22"/>
      <c r="L54" s="22"/>
      <c r="M54" s="22"/>
      <c r="O54" s="22"/>
      <c r="P54" s="22"/>
      <c r="Q54" s="22"/>
      <c r="R54" s="22"/>
      <c r="S54" s="22"/>
    </row>
    <row r="55" spans="1:44" hidden="1" x14ac:dyDescent="0.2">
      <c r="A55" s="4" t="s">
        <v>26</v>
      </c>
      <c r="C55" s="62"/>
      <c r="D55" s="62"/>
      <c r="E55" s="62"/>
      <c r="F55" s="62"/>
      <c r="G55" s="62"/>
      <c r="I55" s="22"/>
      <c r="J55" s="22"/>
      <c r="K55" s="22"/>
      <c r="L55" s="22"/>
      <c r="M55" s="22"/>
      <c r="O55" s="22"/>
      <c r="P55" s="22"/>
      <c r="Q55" s="22"/>
      <c r="R55" s="22"/>
      <c r="S55" s="22"/>
    </row>
    <row r="56" spans="1:44" hidden="1" x14ac:dyDescent="0.2">
      <c r="C56" s="4"/>
    </row>
    <row r="57" spans="1:44" hidden="1" x14ac:dyDescent="0.2">
      <c r="A57" s="4" t="s">
        <v>138</v>
      </c>
      <c r="C57" s="8">
        <f>C54+($B$38*C55)</f>
        <v>0</v>
      </c>
      <c r="D57" s="8">
        <f>D54+($B$38*D55)</f>
        <v>0</v>
      </c>
      <c r="E57" s="8">
        <f>E54+($B$38*E55)</f>
        <v>0</v>
      </c>
      <c r="F57" s="8">
        <f>F54+($B$38*F55)</f>
        <v>0</v>
      </c>
      <c r="G57" s="8">
        <f>G54+($B$38*G55)</f>
        <v>0</v>
      </c>
    </row>
    <row r="58" spans="1:44" hidden="1" x14ac:dyDescent="0.2"/>
    <row r="59" spans="1:44" hidden="1" x14ac:dyDescent="0.2">
      <c r="A59" s="4" t="s">
        <v>59</v>
      </c>
    </row>
    <row r="60" spans="1:44" hidden="1" x14ac:dyDescent="0.2">
      <c r="A60" s="4" t="s">
        <v>6</v>
      </c>
      <c r="B60">
        <v>0</v>
      </c>
      <c r="I60" s="22"/>
      <c r="J60" s="22"/>
      <c r="K60" s="22"/>
      <c r="L60" s="22"/>
      <c r="M60" s="22"/>
      <c r="O60" s="22"/>
      <c r="P60" s="22"/>
      <c r="Q60" s="22"/>
      <c r="R60" s="22"/>
      <c r="S60" s="22"/>
    </row>
    <row r="61" spans="1:44" hidden="1" x14ac:dyDescent="0.2">
      <c r="A61" s="4" t="s">
        <v>5</v>
      </c>
      <c r="B61">
        <v>1</v>
      </c>
      <c r="I61" s="22"/>
      <c r="J61" s="22"/>
      <c r="K61" s="22"/>
      <c r="L61" s="22"/>
      <c r="M61" s="22"/>
      <c r="O61" s="22"/>
      <c r="P61" s="22"/>
      <c r="Q61" s="22"/>
      <c r="R61" s="22"/>
      <c r="S61" s="22"/>
    </row>
    <row r="62" spans="1:44" x14ac:dyDescent="0.2">
      <c r="A62" s="4"/>
      <c r="U62" s="4" t="s">
        <v>8</v>
      </c>
      <c r="V62" s="9" t="str">
        <f>IFERROR(IF($V$51=0,VLOOKUP(V4,$U$65:$Z$97,V5,FALSE)*100,VLOOKUP(V4,$AG$65:$AL$97,V5,FALSE)*100),"")</f>
        <v/>
      </c>
      <c r="W62" s="9" t="str">
        <f>IFERROR(IF($V$51=0,VLOOKUP(W4,$U$65:$Z$97,W5,FALSE)*100,VLOOKUP(W4,$AG$65:$AL$97,W5,FALSE)*100),"")</f>
        <v/>
      </c>
      <c r="X62" s="9" t="str">
        <f>IFERROR(IF($V$51=0,VLOOKUP(X4,$U$65:$Z$97,X5,FALSE)*100,VLOOKUP(X4,$AG$65:$AL$97,X5,FALSE)*100),"")</f>
        <v/>
      </c>
      <c r="Y62" s="9" t="str">
        <f>IFERROR(IF($V$51=0,VLOOKUP(Y4,$U$65:$Z$97,Y5,FALSE)*100,VLOOKUP(Y4,$AG$65:$AL$97,Y5,FALSE)*100),"")</f>
        <v/>
      </c>
      <c r="Z62" s="9" t="str">
        <f>IFERROR(IF($V$51=0,VLOOKUP(Z4,$U$65:$Z$97,Z5,FALSE)*100,VLOOKUP(Z4,$AG$65:$AL$97,Z5,FALSE)*100),"")</f>
        <v/>
      </c>
    </row>
    <row r="63" spans="1:44" x14ac:dyDescent="0.2">
      <c r="A63" s="11" t="s">
        <v>144</v>
      </c>
      <c r="B63" s="12"/>
      <c r="C63" s="12"/>
      <c r="D63" s="12"/>
      <c r="E63" s="12"/>
      <c r="F63" s="12"/>
      <c r="G63" s="12"/>
      <c r="H63" s="12"/>
      <c r="I63" s="11"/>
      <c r="J63" s="12"/>
      <c r="K63" s="12"/>
      <c r="L63" s="12"/>
      <c r="M63" s="12"/>
      <c r="N63" s="12"/>
      <c r="O63" s="11"/>
      <c r="P63" s="12"/>
      <c r="Q63" s="12"/>
      <c r="R63" s="12"/>
      <c r="S63" s="12"/>
      <c r="U63" s="20" t="s">
        <v>191</v>
      </c>
      <c r="AA63" s="20" t="s">
        <v>193</v>
      </c>
      <c r="AG63" s="20" t="s">
        <v>192</v>
      </c>
      <c r="AM63" s="20" t="s">
        <v>193</v>
      </c>
    </row>
    <row r="64" spans="1:44" x14ac:dyDescent="0.2">
      <c r="A64" t="s">
        <v>155</v>
      </c>
      <c r="B64" s="8" t="str">
        <f>C10</f>
        <v/>
      </c>
      <c r="U64" t="s">
        <v>189</v>
      </c>
      <c r="V64" s="14" t="str">
        <f>master!$E$3</f>
        <v>General</v>
      </c>
      <c r="W64" s="14" t="str">
        <f>master!$E$4</f>
        <v>Physical</v>
      </c>
      <c r="X64" s="14" t="str">
        <f>master!$E$5</f>
        <v>Activity</v>
      </c>
      <c r="Y64" s="14" t="str">
        <f>master!$E$6</f>
        <v>Mental</v>
      </c>
      <c r="Z64" s="25" t="str">
        <f>master!$E$7</f>
        <v>Motivation</v>
      </c>
      <c r="AA64" t="s">
        <v>189</v>
      </c>
      <c r="AB64" s="14" t="str">
        <f>master!$E$3</f>
        <v>General</v>
      </c>
      <c r="AC64" s="14" t="str">
        <f>master!$E$4</f>
        <v>Physical</v>
      </c>
      <c r="AD64" s="14" t="str">
        <f>master!$E$5</f>
        <v>Activity</v>
      </c>
      <c r="AE64" s="14" t="str">
        <f>master!$E$6</f>
        <v>Mental</v>
      </c>
      <c r="AF64" s="25" t="str">
        <f>master!$E$7</f>
        <v>Motivation</v>
      </c>
      <c r="AG64" t="s">
        <v>189</v>
      </c>
      <c r="AH64" s="14" t="str">
        <f>master!$E$3</f>
        <v>General</v>
      </c>
      <c r="AI64" s="14" t="str">
        <f>master!$E$4</f>
        <v>Physical</v>
      </c>
      <c r="AJ64" s="14" t="str">
        <f>master!$E$5</f>
        <v>Activity</v>
      </c>
      <c r="AK64" s="14" t="str">
        <f>master!$E$6</f>
        <v>Mental</v>
      </c>
      <c r="AL64" s="25" t="str">
        <f>master!$E$7</f>
        <v>Motivation</v>
      </c>
      <c r="AM64" t="s">
        <v>189</v>
      </c>
      <c r="AN64" s="14" t="str">
        <f>master!$E$3</f>
        <v>General</v>
      </c>
      <c r="AO64" s="14" t="str">
        <f>master!$E$4</f>
        <v>Physical</v>
      </c>
      <c r="AP64" s="14" t="str">
        <f>master!$E$5</f>
        <v>Activity</v>
      </c>
      <c r="AQ64" s="14" t="str">
        <f>master!$E$6</f>
        <v>Mental</v>
      </c>
      <c r="AR64" s="25" t="str">
        <f>master!$E$7</f>
        <v>Motivation</v>
      </c>
    </row>
    <row r="65" spans="1:44" x14ac:dyDescent="0.2">
      <c r="A65" t="s">
        <v>156</v>
      </c>
      <c r="B65" t="e" cm="1">
        <f t="array" ref="B65">_xlfn.IFS(ISBLANK(B64),"",AND(B64&gt;=20,B64&lt;30),0,AND(B64&gt;=30,B64&lt;40),1,AND(B64&gt;=40,B64&lt;50),2,AND(B64&gt;=50,B64&lt;60),3,AND(B64&gt;=60,B64&lt;70),4,AND(B64&gt;=70,B64&lt;80),5)</f>
        <v>#N/A</v>
      </c>
      <c r="U65" s="16">
        <f>normalitet!B$4</f>
        <v>4</v>
      </c>
      <c r="V65">
        <v>0.12719822041461831</v>
      </c>
      <c r="W65">
        <v>0.13562114182303811</v>
      </c>
      <c r="X65">
        <v>0.2225738261610879</v>
      </c>
      <c r="Y65">
        <v>0.2328681507095165</v>
      </c>
      <c r="Z65">
        <v>0.30178725595978773</v>
      </c>
      <c r="AA65" s="10">
        <f>normalitet!B$4</f>
        <v>4</v>
      </c>
      <c r="AB65">
        <v>7.1964547103780183E-2</v>
      </c>
      <c r="AC65">
        <v>7.6138150277767852E-2</v>
      </c>
      <c r="AD65">
        <v>0.1219754799933702</v>
      </c>
      <c r="AE65">
        <v>0.1312738879866264</v>
      </c>
      <c r="AF65">
        <v>0.1730568214392163</v>
      </c>
      <c r="AG65" s="16">
        <f>normalitet!B$4</f>
        <v>4</v>
      </c>
      <c r="AH65">
        <v>0.1362867720911283</v>
      </c>
      <c r="AI65">
        <v>0.1418920745077373</v>
      </c>
      <c r="AJ65">
        <v>0.1860895049292316</v>
      </c>
      <c r="AK65">
        <v>0.22251613026062331</v>
      </c>
      <c r="AL65">
        <v>0.23794001480537899</v>
      </c>
      <c r="AM65" s="10">
        <f>normalitet!B$4</f>
        <v>4</v>
      </c>
      <c r="AN65">
        <v>7.4818784255190923E-2</v>
      </c>
      <c r="AO65">
        <v>7.8326466645481332E-2</v>
      </c>
      <c r="AP65">
        <v>0.10541794835623081</v>
      </c>
      <c r="AQ65">
        <v>0.120454344588779</v>
      </c>
      <c r="AR65">
        <v>0.15349871416346431</v>
      </c>
    </row>
    <row r="66" spans="1:44" x14ac:dyDescent="0.2">
      <c r="U66" s="86">
        <f>U65+1</f>
        <v>5</v>
      </c>
      <c r="V66">
        <v>0.24628555547820649</v>
      </c>
      <c r="W66">
        <v>0.26251019630650319</v>
      </c>
      <c r="X66">
        <v>0.4032483876225269</v>
      </c>
      <c r="Y66">
        <v>0.42029120854628182</v>
      </c>
      <c r="Z66">
        <v>0.51581296678767419</v>
      </c>
      <c r="AA66" s="10">
        <f>AA65+0.5</f>
        <v>4.5</v>
      </c>
      <c r="AB66">
        <v>6.7891958267132124E-2</v>
      </c>
      <c r="AC66">
        <v>7.2558439701404423E-2</v>
      </c>
      <c r="AD66">
        <v>0.11568573291071391</v>
      </c>
      <c r="AE66">
        <v>0.1239586966061583</v>
      </c>
      <c r="AF66">
        <v>0.1577650746829134</v>
      </c>
      <c r="AG66" s="86">
        <f>AG65+1</f>
        <v>5</v>
      </c>
      <c r="AH66">
        <v>0.2637540540558056</v>
      </c>
      <c r="AI66">
        <v>0.27366494184663331</v>
      </c>
      <c r="AJ66">
        <v>0.35769548155984221</v>
      </c>
      <c r="AK66">
        <v>0.38461480123526381</v>
      </c>
      <c r="AL66">
        <v>0.43959918960063182</v>
      </c>
      <c r="AM66" s="10">
        <f>AM65+0.5</f>
        <v>4.5</v>
      </c>
      <c r="AN66">
        <v>7.2328767399003374E-2</v>
      </c>
      <c r="AO66">
        <v>7.5570346427339591E-2</v>
      </c>
      <c r="AP66">
        <v>0.1009198005920048</v>
      </c>
      <c r="AQ66">
        <v>0.1100470080195842</v>
      </c>
      <c r="AR66">
        <v>0.12898435131369809</v>
      </c>
    </row>
    <row r="67" spans="1:44" x14ac:dyDescent="0.2">
      <c r="A67" s="20" t="s">
        <v>134</v>
      </c>
      <c r="U67" s="86">
        <f t="shared" ref="U67:U97" si="12">U66+1</f>
        <v>6</v>
      </c>
      <c r="V67">
        <v>0.33508957801798589</v>
      </c>
      <c r="W67">
        <v>0.35428097674884312</v>
      </c>
      <c r="X67">
        <v>0.52714658014604343</v>
      </c>
      <c r="Y67">
        <v>0.53342235784334946</v>
      </c>
      <c r="Z67">
        <v>0.6492641543534774</v>
      </c>
      <c r="AA67" s="10">
        <f t="shared" ref="AA67:AA97" si="13">AA66+0.5</f>
        <v>5</v>
      </c>
      <c r="AB67">
        <v>6.1281109623770917E-2</v>
      </c>
      <c r="AC67">
        <v>6.4821105852034475E-2</v>
      </c>
      <c r="AD67">
        <v>9.7787325170539813E-2</v>
      </c>
      <c r="AE67">
        <v>9.9832090122862899E-2</v>
      </c>
      <c r="AF67">
        <v>0.11608205165082849</v>
      </c>
      <c r="AG67" s="86">
        <f t="shared" ref="AG67:AG97" si="14">AG66+1</f>
        <v>6</v>
      </c>
      <c r="AH67">
        <v>0.35856708137118748</v>
      </c>
      <c r="AI67">
        <v>0.37272667374289298</v>
      </c>
      <c r="AJ67">
        <v>0.47104820124309099</v>
      </c>
      <c r="AK67">
        <v>0.49781168195633352</v>
      </c>
      <c r="AL67">
        <v>0.55905786495800935</v>
      </c>
      <c r="AM67" s="10">
        <f t="shared" ref="AM67:AM97" si="15">AM66+0.5</f>
        <v>5</v>
      </c>
      <c r="AN67">
        <v>6.4712687512471806E-2</v>
      </c>
      <c r="AO67">
        <v>6.7353966394863823E-2</v>
      </c>
      <c r="AP67">
        <v>8.8275049910137002E-2</v>
      </c>
      <c r="AQ67">
        <v>8.9359712034926167E-2</v>
      </c>
      <c r="AR67">
        <v>9.7585657724144514E-2</v>
      </c>
    </row>
    <row r="68" spans="1:44" x14ac:dyDescent="0.2">
      <c r="A68" s="4" t="s">
        <v>25</v>
      </c>
      <c r="U68" s="86">
        <f t="shared" si="12"/>
        <v>7</v>
      </c>
      <c r="V68">
        <v>0.41198912583031128</v>
      </c>
      <c r="W68">
        <v>0.43889994049070108</v>
      </c>
      <c r="X68">
        <v>0.6130684629151556</v>
      </c>
      <c r="Y68">
        <v>0.61161092205066936</v>
      </c>
      <c r="Z68">
        <v>0.74370487492361814</v>
      </c>
      <c r="AA68" s="10">
        <f t="shared" si="13"/>
        <v>5.5</v>
      </c>
      <c r="AB68">
        <v>5.2784644913405121E-2</v>
      </c>
      <c r="AC68">
        <v>5.5534028213156603E-2</v>
      </c>
      <c r="AD68">
        <v>7.7786543272679531E-2</v>
      </c>
      <c r="AE68">
        <v>7.485368228313391E-2</v>
      </c>
      <c r="AF68">
        <v>8.4683866126305782E-2</v>
      </c>
      <c r="AG68" s="86">
        <f t="shared" si="14"/>
        <v>7</v>
      </c>
      <c r="AH68">
        <v>0.44013430162904899</v>
      </c>
      <c r="AI68">
        <v>0.45956629530430543</v>
      </c>
      <c r="AJ68">
        <v>0.5592872867589509</v>
      </c>
      <c r="AK68">
        <v>0.58630295590669923</v>
      </c>
      <c r="AL68">
        <v>0.65692427226046402</v>
      </c>
      <c r="AM68" s="10">
        <f t="shared" si="15"/>
        <v>5.5</v>
      </c>
      <c r="AN68">
        <v>5.6020174661939287E-2</v>
      </c>
      <c r="AO68">
        <v>5.8458177948461088E-2</v>
      </c>
      <c r="AP68">
        <v>7.2679017179816133E-2</v>
      </c>
      <c r="AQ68">
        <v>6.8050023882781294E-2</v>
      </c>
      <c r="AR68">
        <v>7.4231744963195068E-2</v>
      </c>
    </row>
    <row r="69" spans="1:44" x14ac:dyDescent="0.2">
      <c r="A69" s="4" t="s">
        <v>16</v>
      </c>
      <c r="C69" s="22"/>
      <c r="D69" s="22"/>
      <c r="E69" s="22"/>
      <c r="F69" s="22"/>
      <c r="G69" s="22"/>
      <c r="I69" s="22"/>
      <c r="J69" s="22"/>
      <c r="K69" s="22"/>
      <c r="L69" s="22"/>
      <c r="M69" s="22"/>
      <c r="O69" s="22">
        <v>0.93523259999999997</v>
      </c>
      <c r="P69" s="22">
        <v>0.83544669800000004</v>
      </c>
      <c r="Q69" s="22">
        <v>0.72593488900000003</v>
      </c>
      <c r="R69" s="22">
        <v>0.85879861209999997</v>
      </c>
      <c r="S69" s="22">
        <v>0.71353792699999996</v>
      </c>
      <c r="U69" s="86">
        <f t="shared" si="12"/>
        <v>8</v>
      </c>
      <c r="V69">
        <v>0.48072193854827122</v>
      </c>
      <c r="W69">
        <v>0.51952765963124758</v>
      </c>
      <c r="X69">
        <v>0.68168846043107745</v>
      </c>
      <c r="Y69">
        <v>0.68197438754036532</v>
      </c>
      <c r="Z69">
        <v>0.8260938768219207</v>
      </c>
      <c r="AA69" s="10">
        <f t="shared" si="13"/>
        <v>6</v>
      </c>
      <c r="AB69">
        <v>4.58053351810669E-2</v>
      </c>
      <c r="AC69">
        <v>4.7642401447153357E-2</v>
      </c>
      <c r="AD69">
        <v>6.3793196351170423E-2</v>
      </c>
      <c r="AE69">
        <v>5.647561356461131E-2</v>
      </c>
      <c r="AF69">
        <v>6.7421704915487726E-2</v>
      </c>
      <c r="AG69" s="86">
        <f t="shared" si="14"/>
        <v>8</v>
      </c>
      <c r="AH69">
        <v>0.51515770401201766</v>
      </c>
      <c r="AI69">
        <v>0.53878765965820929</v>
      </c>
      <c r="AJ69">
        <v>0.6323375759860711</v>
      </c>
      <c r="AK69">
        <v>0.6743130542783965</v>
      </c>
      <c r="AL69">
        <v>0.75860104709313492</v>
      </c>
      <c r="AM69" s="10">
        <f t="shared" si="15"/>
        <v>6</v>
      </c>
      <c r="AN69">
        <v>4.9040511463530008E-2</v>
      </c>
      <c r="AO69">
        <v>5.128975996733702E-2</v>
      </c>
      <c r="AP69">
        <v>5.9376278679233258E-2</v>
      </c>
      <c r="AQ69">
        <v>5.4771455054552692E-2</v>
      </c>
      <c r="AR69">
        <v>6.1003520833980467E-2</v>
      </c>
    </row>
    <row r="70" spans="1:44" x14ac:dyDescent="0.2">
      <c r="A70" s="4" t="s">
        <v>147</v>
      </c>
      <c r="C70" s="22"/>
      <c r="D70" s="22"/>
      <c r="E70" s="22"/>
      <c r="F70" s="22"/>
      <c r="G70" s="22"/>
      <c r="I70" s="22"/>
      <c r="J70" s="22"/>
      <c r="K70" s="22"/>
      <c r="L70" s="22"/>
      <c r="M70" s="22"/>
      <c r="O70" s="22">
        <v>-7.0575179999999993E-5</v>
      </c>
      <c r="P70" s="22">
        <v>1.701347E-3</v>
      </c>
      <c r="Q70" s="22">
        <v>2.787772E-3</v>
      </c>
      <c r="R70" s="22">
        <v>-3.3208020000000002E-4</v>
      </c>
      <c r="S70" s="22">
        <v>1.774557E-3</v>
      </c>
      <c r="U70" s="86">
        <f t="shared" si="12"/>
        <v>9</v>
      </c>
      <c r="V70">
        <v>0.54236137623548963</v>
      </c>
      <c r="W70">
        <v>0.59353545134977059</v>
      </c>
      <c r="X70">
        <v>0.73758638888799022</v>
      </c>
      <c r="Y70">
        <v>0.74409026364246333</v>
      </c>
      <c r="Z70">
        <v>0.87783562298265694</v>
      </c>
      <c r="AA70" s="10">
        <f t="shared" si="13"/>
        <v>6.5</v>
      </c>
      <c r="AB70">
        <v>4.1384496451201062E-2</v>
      </c>
      <c r="AC70">
        <v>4.4081354742940837E-2</v>
      </c>
      <c r="AD70">
        <v>5.2899604611481597E-2</v>
      </c>
      <c r="AE70">
        <v>4.4869344394901388E-2</v>
      </c>
      <c r="AF70">
        <v>5.6614837791281077E-2</v>
      </c>
      <c r="AG70" s="86">
        <f t="shared" si="14"/>
        <v>9</v>
      </c>
      <c r="AH70">
        <v>0.58769448829310622</v>
      </c>
      <c r="AI70">
        <v>0.60994500214426384</v>
      </c>
      <c r="AJ70">
        <v>0.69381946007108819</v>
      </c>
      <c r="AK70">
        <v>0.7484076717526178</v>
      </c>
      <c r="AL70">
        <v>0.83670592180715486</v>
      </c>
      <c r="AM70" s="10">
        <f t="shared" si="15"/>
        <v>6.5</v>
      </c>
      <c r="AN70">
        <v>4.4182955926222199E-2</v>
      </c>
      <c r="AO70">
        <v>4.6904826492557908E-2</v>
      </c>
      <c r="AP70">
        <v>5.0181780854011128E-2</v>
      </c>
      <c r="AQ70">
        <v>4.9460491670383189E-2</v>
      </c>
      <c r="AR70">
        <v>5.3527691248475742E-2</v>
      </c>
    </row>
    <row r="71" spans="1:44" x14ac:dyDescent="0.2">
      <c r="A71" s="4" t="s">
        <v>17</v>
      </c>
      <c r="C71" s="8"/>
      <c r="D71" s="8"/>
      <c r="E71" s="8"/>
      <c r="F71" s="8"/>
      <c r="G71" s="8"/>
      <c r="O71" s="9" t="e">
        <f>O69+($B$64*O70)</f>
        <v>#VALUE!</v>
      </c>
      <c r="P71" s="9" t="e">
        <f t="shared" ref="P71:S71" si="16">P69+($B$64*P70)</f>
        <v>#VALUE!</v>
      </c>
      <c r="Q71" s="9" t="e">
        <f>Q69+($B$64*Q70)</f>
        <v>#VALUE!</v>
      </c>
      <c r="R71" s="9" t="e">
        <f t="shared" si="16"/>
        <v>#VALUE!</v>
      </c>
      <c r="S71" s="9" t="e">
        <f t="shared" si="16"/>
        <v>#VALUE!</v>
      </c>
      <c r="U71" s="86">
        <f t="shared" si="12"/>
        <v>10</v>
      </c>
      <c r="V71">
        <v>0.59984210029764462</v>
      </c>
      <c r="W71">
        <v>0.65682039897564304</v>
      </c>
      <c r="X71">
        <v>0.78311906181774515</v>
      </c>
      <c r="Y71">
        <v>0.79643466780320338</v>
      </c>
      <c r="Z71">
        <v>0.90760765552788247</v>
      </c>
      <c r="AA71" s="10">
        <f t="shared" si="13"/>
        <v>7</v>
      </c>
      <c r="AB71">
        <v>3.870926274966429E-2</v>
      </c>
      <c r="AC71">
        <v>4.2610996569827739E-2</v>
      </c>
      <c r="AD71">
        <v>4.5249819664036697E-2</v>
      </c>
      <c r="AE71">
        <v>4.0668040768446191E-2</v>
      </c>
      <c r="AF71">
        <v>5.0927908542808611E-2</v>
      </c>
      <c r="AG71" s="86">
        <f t="shared" si="14"/>
        <v>10</v>
      </c>
      <c r="AH71">
        <v>0.65641459012677439</v>
      </c>
      <c r="AI71">
        <v>0.67428847923382296</v>
      </c>
      <c r="AJ71">
        <v>0.74657950117348371</v>
      </c>
      <c r="AK71">
        <v>0.80606669638288142</v>
      </c>
      <c r="AL71">
        <v>0.88567004744398659</v>
      </c>
      <c r="AM71" s="10">
        <f t="shared" si="15"/>
        <v>7</v>
      </c>
      <c r="AN71">
        <v>4.1759775789800661E-2</v>
      </c>
      <c r="AO71">
        <v>4.4773868180584438E-2</v>
      </c>
      <c r="AP71">
        <v>4.5109726943709641E-2</v>
      </c>
      <c r="AQ71">
        <v>4.7397254157759798E-2</v>
      </c>
      <c r="AR71">
        <v>5.0304894467281702E-2</v>
      </c>
    </row>
    <row r="72" spans="1:44" x14ac:dyDescent="0.2">
      <c r="U72" s="86">
        <f t="shared" si="12"/>
        <v>11</v>
      </c>
      <c r="V72">
        <v>0.65572299222111119</v>
      </c>
      <c r="W72">
        <v>0.71204626777406788</v>
      </c>
      <c r="X72">
        <v>0.82089337021366726</v>
      </c>
      <c r="Y72">
        <v>0.83931441284610486</v>
      </c>
      <c r="Z72">
        <v>0.92882845660467084</v>
      </c>
      <c r="AA72" s="10">
        <f t="shared" si="13"/>
        <v>7.5</v>
      </c>
      <c r="AB72">
        <v>3.7555390985000797E-2</v>
      </c>
      <c r="AC72">
        <v>4.2428080281218757E-2</v>
      </c>
      <c r="AD72">
        <v>4.0533371539465887E-2</v>
      </c>
      <c r="AE72">
        <v>3.8617949340916481E-2</v>
      </c>
      <c r="AF72">
        <v>4.8085789068133211E-2</v>
      </c>
      <c r="AG72" s="86">
        <f t="shared" si="14"/>
        <v>11</v>
      </c>
      <c r="AH72">
        <v>0.72054384530647042</v>
      </c>
      <c r="AI72">
        <v>0.73376214687285823</v>
      </c>
      <c r="AJ72">
        <v>0.79257330411577687</v>
      </c>
      <c r="AK72">
        <v>0.8508795678019363</v>
      </c>
      <c r="AL72">
        <v>0.91665021001183966</v>
      </c>
      <c r="AM72" s="10">
        <f t="shared" si="15"/>
        <v>7.5</v>
      </c>
      <c r="AN72">
        <v>3.9929511128518738E-2</v>
      </c>
      <c r="AO72">
        <v>4.2806524560428431E-2</v>
      </c>
      <c r="AP72">
        <v>4.1247111905197441E-2</v>
      </c>
      <c r="AQ72">
        <v>4.7453899317476407E-2</v>
      </c>
      <c r="AR72">
        <v>5.3823765339413243E-2</v>
      </c>
    </row>
    <row r="73" spans="1:44" x14ac:dyDescent="0.2">
      <c r="A73" s="4" t="s">
        <v>19</v>
      </c>
      <c r="U73" s="86">
        <f t="shared" si="12"/>
        <v>12</v>
      </c>
      <c r="V73">
        <v>0.7127273724494505</v>
      </c>
      <c r="W73">
        <v>0.76368171561176224</v>
      </c>
      <c r="X73">
        <v>0.85390533263979163</v>
      </c>
      <c r="Y73">
        <v>0.8739859123642898</v>
      </c>
      <c r="Z73">
        <v>0.95213791787928448</v>
      </c>
      <c r="AA73" s="10">
        <f t="shared" si="13"/>
        <v>8</v>
      </c>
      <c r="AB73">
        <v>3.5967866807522487E-2</v>
      </c>
      <c r="AC73">
        <v>4.2488480170360873E-2</v>
      </c>
      <c r="AD73">
        <v>3.665633696661743E-2</v>
      </c>
      <c r="AE73">
        <v>3.7568224729230701E-2</v>
      </c>
      <c r="AF73">
        <v>4.4458978443543552E-2</v>
      </c>
      <c r="AG73" s="86">
        <f t="shared" si="14"/>
        <v>12</v>
      </c>
      <c r="AH73">
        <v>0.77942910134981347</v>
      </c>
      <c r="AI73">
        <v>0.79078396184982236</v>
      </c>
      <c r="AJ73">
        <v>0.83370224352864597</v>
      </c>
      <c r="AK73">
        <v>0.89164976060304713</v>
      </c>
      <c r="AL73">
        <v>0.94017088099003931</v>
      </c>
      <c r="AM73" s="10">
        <f t="shared" si="15"/>
        <v>8</v>
      </c>
      <c r="AN73">
        <v>3.8979703443100103E-2</v>
      </c>
      <c r="AO73">
        <v>4.136433623015124E-2</v>
      </c>
      <c r="AP73">
        <v>3.8450760325589438E-2</v>
      </c>
      <c r="AQ73">
        <v>4.7114266407342738E-2</v>
      </c>
      <c r="AR73">
        <v>5.4455035026453602E-2</v>
      </c>
    </row>
    <row r="74" spans="1:44" x14ac:dyDescent="0.2">
      <c r="A74" s="4" t="s">
        <v>149</v>
      </c>
      <c r="B74">
        <v>0</v>
      </c>
      <c r="C74" s="22"/>
      <c r="D74" s="22"/>
      <c r="E74" s="22"/>
      <c r="F74" s="22"/>
      <c r="G74" s="22"/>
      <c r="I74" s="22"/>
      <c r="J74" s="22"/>
      <c r="K74" s="22"/>
      <c r="L74" s="22"/>
      <c r="M74" s="22"/>
      <c r="O74" s="65">
        <v>0.18258569999999999</v>
      </c>
      <c r="P74" s="22">
        <v>0.1807079</v>
      </c>
      <c r="Q74" s="22">
        <v>0.1742581</v>
      </c>
      <c r="R74" s="22">
        <v>0.18928229999999999</v>
      </c>
      <c r="S74" s="22">
        <v>0.1404347</v>
      </c>
      <c r="U74" s="86">
        <f t="shared" si="12"/>
        <v>13</v>
      </c>
      <c r="V74">
        <v>0.76388151754663447</v>
      </c>
      <c r="W74">
        <v>0.80705575994396617</v>
      </c>
      <c r="X74">
        <v>0.87880852289641753</v>
      </c>
      <c r="Y74">
        <v>0.89960255144481616</v>
      </c>
      <c r="Z74">
        <v>0.96779694202213962</v>
      </c>
      <c r="AA74" s="10">
        <f t="shared" si="13"/>
        <v>8.5</v>
      </c>
      <c r="AB74">
        <v>3.432674972974193E-2</v>
      </c>
      <c r="AC74">
        <v>4.1562580483734041E-2</v>
      </c>
      <c r="AD74">
        <v>3.3146149316328977E-2</v>
      </c>
      <c r="AE74">
        <v>3.5948726074240933E-2</v>
      </c>
      <c r="AF74">
        <v>3.712557057853836E-2</v>
      </c>
      <c r="AG74" s="86">
        <f t="shared" si="14"/>
        <v>13</v>
      </c>
      <c r="AH74">
        <v>0.82897999223312968</v>
      </c>
      <c r="AI74">
        <v>0.83743460633069322</v>
      </c>
      <c r="AJ74">
        <v>0.86650257103588613</v>
      </c>
      <c r="AK74">
        <v>0.9217484826185921</v>
      </c>
      <c r="AL74">
        <v>0.95363760882376758</v>
      </c>
      <c r="AM74" s="10">
        <f t="shared" si="15"/>
        <v>8.5</v>
      </c>
      <c r="AN74">
        <v>3.8320938884021598E-2</v>
      </c>
      <c r="AO74">
        <v>3.9522743666174483E-2</v>
      </c>
      <c r="AP74">
        <v>3.5468783085970533E-2</v>
      </c>
      <c r="AQ74">
        <v>4.4695646521069263E-2</v>
      </c>
      <c r="AR74">
        <v>4.933383663006561E-2</v>
      </c>
    </row>
    <row r="75" spans="1:44" x14ac:dyDescent="0.2">
      <c r="A75" s="4" t="s">
        <v>150</v>
      </c>
      <c r="B75">
        <v>1</v>
      </c>
      <c r="C75" s="22"/>
      <c r="D75" s="22"/>
      <c r="E75" s="22"/>
      <c r="F75" s="22"/>
      <c r="G75" s="22"/>
      <c r="I75" s="22"/>
      <c r="J75" s="22"/>
      <c r="K75" s="22"/>
      <c r="L75" s="22"/>
      <c r="M75" s="22"/>
      <c r="O75" s="65">
        <v>0.1807105</v>
      </c>
      <c r="P75" s="22">
        <v>0.1841585</v>
      </c>
      <c r="Q75" s="22">
        <v>0.17467260000000001</v>
      </c>
      <c r="R75" s="22">
        <v>0.19015090000000001</v>
      </c>
      <c r="S75" s="22">
        <v>0.1481711</v>
      </c>
      <c r="U75" s="86">
        <f t="shared" si="12"/>
        <v>14</v>
      </c>
      <c r="V75">
        <v>0.80748765994283422</v>
      </c>
      <c r="W75">
        <v>0.84331690954414129</v>
      </c>
      <c r="X75">
        <v>0.89734401040717093</v>
      </c>
      <c r="Y75">
        <v>0.91997475733540568</v>
      </c>
      <c r="Z75">
        <v>0.97701253453350112</v>
      </c>
      <c r="AA75" s="10">
        <f t="shared" si="13"/>
        <v>9</v>
      </c>
      <c r="AB75">
        <v>3.2066347322728027E-2</v>
      </c>
      <c r="AC75">
        <v>3.8737284253736542E-2</v>
      </c>
      <c r="AD75">
        <v>2.9810066564528909E-2</v>
      </c>
      <c r="AE75">
        <v>3.3286755512737999E-2</v>
      </c>
      <c r="AF75">
        <v>2.801848286125003E-2</v>
      </c>
      <c r="AG75" s="86">
        <f t="shared" si="14"/>
        <v>14</v>
      </c>
      <c r="AH75">
        <v>0.87017242857285193</v>
      </c>
      <c r="AI75">
        <v>0.87419382766708076</v>
      </c>
      <c r="AJ75">
        <v>0.89260407108500883</v>
      </c>
      <c r="AK75">
        <v>0.94277843538226158</v>
      </c>
      <c r="AL75">
        <v>0.96531831344676144</v>
      </c>
      <c r="AM75" s="10">
        <f t="shared" si="15"/>
        <v>9</v>
      </c>
      <c r="AN75">
        <v>3.7687244370876997E-2</v>
      </c>
      <c r="AO75">
        <v>3.714788321768682E-2</v>
      </c>
      <c r="AP75">
        <v>3.2361644262628497E-2</v>
      </c>
      <c r="AQ75">
        <v>4.036076164969072E-2</v>
      </c>
      <c r="AR75">
        <v>3.9328330754066998E-2</v>
      </c>
    </row>
    <row r="76" spans="1:44" x14ac:dyDescent="0.2">
      <c r="A76" s="4" t="s">
        <v>151</v>
      </c>
      <c r="B76">
        <v>2</v>
      </c>
      <c r="C76" s="22"/>
      <c r="D76" s="22"/>
      <c r="E76" s="22"/>
      <c r="F76" s="22"/>
      <c r="G76" s="22"/>
      <c r="I76" s="22"/>
      <c r="J76" s="22"/>
      <c r="K76" s="22"/>
      <c r="L76" s="22"/>
      <c r="M76" s="22"/>
      <c r="O76" s="65">
        <v>0.20854829999999999</v>
      </c>
      <c r="P76" s="22">
        <v>0.20607059999999999</v>
      </c>
      <c r="Q76" s="22">
        <v>0.1898087</v>
      </c>
      <c r="R76" s="22">
        <v>0.18756110000000001</v>
      </c>
      <c r="S76" s="22">
        <v>0.168822</v>
      </c>
      <c r="U76" s="86">
        <f t="shared" si="12"/>
        <v>15</v>
      </c>
      <c r="V76">
        <v>0.84248337056042344</v>
      </c>
      <c r="W76">
        <v>0.8736974747060825</v>
      </c>
      <c r="X76">
        <v>0.91210998215764794</v>
      </c>
      <c r="Y76">
        <v>0.93763943801088889</v>
      </c>
      <c r="Z76">
        <v>0.98206686824866629</v>
      </c>
      <c r="AA76" s="10">
        <f t="shared" si="13"/>
        <v>9.5</v>
      </c>
      <c r="AB76">
        <v>3.0276515612675949E-2</v>
      </c>
      <c r="AC76">
        <v>3.5431705327843142E-2</v>
      </c>
      <c r="AD76">
        <v>2.673444292665797E-2</v>
      </c>
      <c r="AE76">
        <v>3.0406191572712259E-2</v>
      </c>
      <c r="AF76">
        <v>1.9186609819554491E-2</v>
      </c>
      <c r="AG76" s="86">
        <f t="shared" si="14"/>
        <v>15</v>
      </c>
      <c r="AH76">
        <v>0.90388360060804263</v>
      </c>
      <c r="AI76">
        <v>0.90194067206156581</v>
      </c>
      <c r="AJ76">
        <v>0.91366138506816696</v>
      </c>
      <c r="AK76">
        <v>0.95709590790372345</v>
      </c>
      <c r="AL76">
        <v>0.97599997246337611</v>
      </c>
      <c r="AM76" s="10">
        <f t="shared" si="15"/>
        <v>9.5</v>
      </c>
      <c r="AN76">
        <v>3.6822079970534119E-2</v>
      </c>
      <c r="AO76">
        <v>3.4914355272750303E-2</v>
      </c>
      <c r="AP76">
        <v>2.9615932383733161E-2</v>
      </c>
      <c r="AQ76">
        <v>3.5097346423293138E-2</v>
      </c>
      <c r="AR76">
        <v>3.0996426682860539E-2</v>
      </c>
    </row>
    <row r="77" spans="1:44" x14ac:dyDescent="0.2">
      <c r="A77" s="4" t="s">
        <v>152</v>
      </c>
      <c r="B77">
        <v>3</v>
      </c>
      <c r="C77" s="22"/>
      <c r="D77" s="22"/>
      <c r="E77" s="22"/>
      <c r="F77" s="22"/>
      <c r="G77" s="22"/>
      <c r="I77" s="22"/>
      <c r="J77" s="22"/>
      <c r="K77" s="22"/>
      <c r="L77" s="22"/>
      <c r="M77" s="22"/>
      <c r="O77" s="65">
        <v>0.20928179999999999</v>
      </c>
      <c r="P77" s="22">
        <v>0.2036105</v>
      </c>
      <c r="Q77" s="22">
        <v>0.2050633</v>
      </c>
      <c r="R77" s="22">
        <v>0.1988135</v>
      </c>
      <c r="S77" s="22">
        <v>0.16101470000000001</v>
      </c>
      <c r="U77" s="86">
        <f t="shared" si="12"/>
        <v>16</v>
      </c>
      <c r="V77">
        <v>0.87211758223081226</v>
      </c>
      <c r="W77">
        <v>0.90042063305531095</v>
      </c>
      <c r="X77">
        <v>0.92718804662734378</v>
      </c>
      <c r="Y77">
        <v>0.95318167051719382</v>
      </c>
      <c r="Z77">
        <v>0.98526881553077839</v>
      </c>
      <c r="AA77" s="10">
        <f t="shared" si="13"/>
        <v>10</v>
      </c>
      <c r="AB77">
        <v>2.908354984524943E-2</v>
      </c>
      <c r="AC77">
        <v>3.2239775713795563E-2</v>
      </c>
      <c r="AD77">
        <v>2.3981750438640301E-2</v>
      </c>
      <c r="AE77">
        <v>2.7498729306836729E-2</v>
      </c>
      <c r="AF77">
        <v>1.3737060834247731E-2</v>
      </c>
      <c r="AG77" s="86">
        <f t="shared" si="14"/>
        <v>16</v>
      </c>
      <c r="AH77">
        <v>0.93101830449628675</v>
      </c>
      <c r="AI77">
        <v>0.92307160573366653</v>
      </c>
      <c r="AJ77">
        <v>0.93201989508456773</v>
      </c>
      <c r="AK77">
        <v>0.96813048840890437</v>
      </c>
      <c r="AL77">
        <v>0.98366611194107012</v>
      </c>
      <c r="AM77" s="10">
        <f t="shared" si="15"/>
        <v>10</v>
      </c>
      <c r="AN77">
        <v>3.5774654158488683E-2</v>
      </c>
      <c r="AO77">
        <v>3.2963123858569511E-2</v>
      </c>
      <c r="AP77">
        <v>2.726511005831805E-2</v>
      </c>
      <c r="AQ77">
        <v>2.9527512415419802E-2</v>
      </c>
      <c r="AR77">
        <v>2.4972512847940331E-2</v>
      </c>
    </row>
    <row r="78" spans="1:44" x14ac:dyDescent="0.2">
      <c r="A78" s="4" t="s">
        <v>153</v>
      </c>
      <c r="B78">
        <v>4</v>
      </c>
      <c r="C78" s="22"/>
      <c r="D78" s="22"/>
      <c r="E78" s="22"/>
      <c r="F78" s="22"/>
      <c r="G78" s="22"/>
      <c r="I78" s="22"/>
      <c r="J78" s="22"/>
      <c r="K78" s="22"/>
      <c r="L78" s="22"/>
      <c r="M78" s="22"/>
      <c r="O78" s="65">
        <v>0.22852249999999999</v>
      </c>
      <c r="P78" s="22">
        <v>0.21961639999999999</v>
      </c>
      <c r="Q78" s="22">
        <v>0.2189593</v>
      </c>
      <c r="R78" s="22">
        <v>0.20363829999999999</v>
      </c>
      <c r="S78" s="22">
        <v>0.18929190000000001</v>
      </c>
      <c r="U78" s="86">
        <f t="shared" si="12"/>
        <v>17</v>
      </c>
      <c r="V78">
        <v>0.89916278155938623</v>
      </c>
      <c r="W78">
        <v>0.92235075123077181</v>
      </c>
      <c r="X78">
        <v>0.93919515329853276</v>
      </c>
      <c r="Y78">
        <v>0.96513212241747048</v>
      </c>
      <c r="Z78">
        <v>0.98638365955060525</v>
      </c>
      <c r="AA78" s="10">
        <f t="shared" si="13"/>
        <v>10.5</v>
      </c>
      <c r="AB78">
        <v>2.876475860965472E-2</v>
      </c>
      <c r="AC78">
        <v>2.9815507240834861E-2</v>
      </c>
      <c r="AD78">
        <v>2.1737452403864189E-2</v>
      </c>
      <c r="AE78">
        <v>2.5039170342803872E-2</v>
      </c>
      <c r="AF78">
        <v>1.171449658097203E-2</v>
      </c>
      <c r="AG78" s="86">
        <f t="shared" si="14"/>
        <v>17</v>
      </c>
      <c r="AH78">
        <v>0.95156906907933314</v>
      </c>
      <c r="AI78">
        <v>0.94006198575386624</v>
      </c>
      <c r="AJ78">
        <v>0.9466967961759436</v>
      </c>
      <c r="AK78">
        <v>0.9756813253584018</v>
      </c>
      <c r="AL78">
        <v>0.98735242156454239</v>
      </c>
      <c r="AM78" s="10">
        <f t="shared" si="15"/>
        <v>10.5</v>
      </c>
      <c r="AN78">
        <v>3.4639464233785527E-2</v>
      </c>
      <c r="AO78">
        <v>3.1714512221768111E-2</v>
      </c>
      <c r="AP78">
        <v>2.5551474764139302E-2</v>
      </c>
      <c r="AQ78">
        <v>2.5814197322792071E-2</v>
      </c>
      <c r="AR78">
        <v>1.964491323578518E-2</v>
      </c>
    </row>
    <row r="79" spans="1:44" x14ac:dyDescent="0.2">
      <c r="A79" s="4" t="s">
        <v>154</v>
      </c>
      <c r="B79">
        <v>5</v>
      </c>
      <c r="C79" s="22"/>
      <c r="D79" s="22"/>
      <c r="E79" s="22"/>
      <c r="F79" s="22"/>
      <c r="G79" s="22"/>
      <c r="I79" s="22"/>
      <c r="J79" s="22"/>
      <c r="K79" s="22"/>
      <c r="L79" s="22"/>
      <c r="M79" s="22"/>
      <c r="O79" s="65">
        <v>0.25128590000000001</v>
      </c>
      <c r="P79" s="22">
        <v>0.24107960000000001</v>
      </c>
      <c r="Q79" s="22">
        <v>0.2477424</v>
      </c>
      <c r="R79" s="22">
        <v>0.23139299999999999</v>
      </c>
      <c r="S79" s="22">
        <v>0.19530259999999999</v>
      </c>
      <c r="U79" s="86">
        <f t="shared" si="12"/>
        <v>18</v>
      </c>
      <c r="V79">
        <v>0.92660982610631193</v>
      </c>
      <c r="W79">
        <v>0.94178702532275782</v>
      </c>
      <c r="X79">
        <v>0.95275270456199113</v>
      </c>
      <c r="Y79">
        <v>0.9753287999875091</v>
      </c>
      <c r="Z79">
        <v>0.98751416005215176</v>
      </c>
      <c r="AA79" s="10">
        <f t="shared" si="13"/>
        <v>11</v>
      </c>
      <c r="AB79">
        <v>2.9154515289799909E-2</v>
      </c>
      <c r="AC79">
        <v>2.856583957666211E-2</v>
      </c>
      <c r="AD79">
        <v>2.0092368383573939E-2</v>
      </c>
      <c r="AE79">
        <v>2.2876019409482241E-2</v>
      </c>
      <c r="AF79">
        <v>1.154016108468541E-2</v>
      </c>
      <c r="AG79" s="86">
        <f t="shared" si="14"/>
        <v>18</v>
      </c>
      <c r="AH79">
        <v>0.96763650390296807</v>
      </c>
      <c r="AI79">
        <v>0.95602173010090119</v>
      </c>
      <c r="AJ79">
        <v>0.96015265683507611</v>
      </c>
      <c r="AK79">
        <v>0.9823772832669363</v>
      </c>
      <c r="AL79">
        <v>0.99002097104648124</v>
      </c>
      <c r="AM79" s="10">
        <f t="shared" si="15"/>
        <v>11</v>
      </c>
      <c r="AN79">
        <v>3.3526726351843297E-2</v>
      </c>
      <c r="AO79">
        <v>3.1111835587117689E-2</v>
      </c>
      <c r="AP79">
        <v>2.4258433504104421E-2</v>
      </c>
      <c r="AQ79">
        <v>2.3817767355929161E-2</v>
      </c>
      <c r="AR79">
        <v>1.5737492349692191E-2</v>
      </c>
    </row>
    <row r="80" spans="1:44" x14ac:dyDescent="0.2">
      <c r="A80" s="4" t="s">
        <v>148</v>
      </c>
      <c r="C80" s="10"/>
      <c r="D80" s="10"/>
      <c r="E80" s="10"/>
      <c r="F80" s="10"/>
      <c r="G80" s="10"/>
      <c r="H80" s="10"/>
      <c r="I80" s="10"/>
      <c r="J80" s="10"/>
      <c r="K80" s="10"/>
      <c r="L80" s="10"/>
      <c r="M80" s="10"/>
      <c r="O80" s="9" t="e" cm="1">
        <f t="array" ref="O80">_xlfn.IFS($B65=$B74,O74,$B65=$B75,O75,$B65=$B76,O76,$B65=$B77,O77,$B65=$B78,O78,$B65=$B79,O79)</f>
        <v>#N/A</v>
      </c>
      <c r="P80" s="9" t="e" cm="1">
        <f t="array" ref="P80">_xlfn.IFS($B$65=$B$74,P74,$B$65=$B$75,P75,$B$65=$B$76,P76,$B$65=$B$77,P77,$B$65=$B$78,P78,$B$65=$B$79,P79)</f>
        <v>#N/A</v>
      </c>
      <c r="Q80" s="9" t="e" cm="1">
        <f t="array" ref="Q80">_xlfn.IFS($B$65=$B$74,Q74,$B$65=$B$75,Q75,$B$65=$B$76,Q76,$B$65=$B$77,Q77,$B$65=$B$78,Q78,$B$65=$B$79,Q79)</f>
        <v>#N/A</v>
      </c>
      <c r="R80" s="9" t="e" cm="1">
        <f t="array" ref="R80">_xlfn.IFS($B$65=$B$74,R74,$B$65=$B$75,R75,$B$65=$B$76,R76,$B$65=$B$77,R77,$B$65=$B$78,R78,$B$65=$B$79,R79)</f>
        <v>#N/A</v>
      </c>
      <c r="S80" s="9" t="e" cm="1">
        <f t="array" ref="S80">_xlfn.IFS($B$65=$B$74,S74,$B$65=$B$75,S75,$B$65=$B$76,S76,$B$65=$B$77,S77,$B$65=$B$78,S78,$B$65=$B$79,S79)</f>
        <v>#N/A</v>
      </c>
      <c r="U80" s="86">
        <f t="shared" si="12"/>
        <v>19</v>
      </c>
      <c r="V80">
        <v>0.96220297921300946</v>
      </c>
      <c r="W80">
        <v>0.9695615306373363</v>
      </c>
      <c r="X80">
        <v>0.97256444351413596</v>
      </c>
      <c r="Y80">
        <v>0.98677946768855229</v>
      </c>
      <c r="Z80">
        <v>0.99200975521217727</v>
      </c>
      <c r="AA80" s="10">
        <f t="shared" si="13"/>
        <v>11.5</v>
      </c>
      <c r="AB80">
        <v>2.946241007458314E-2</v>
      </c>
      <c r="AC80">
        <v>2.7616490282187749E-2</v>
      </c>
      <c r="AD80">
        <v>1.878179663298175E-2</v>
      </c>
      <c r="AE80">
        <v>2.072041745364326E-2</v>
      </c>
      <c r="AF80">
        <v>1.2194569286971321E-2</v>
      </c>
      <c r="AG80" s="86">
        <f t="shared" si="14"/>
        <v>19</v>
      </c>
      <c r="AH80">
        <v>0.9835082730667799</v>
      </c>
      <c r="AI80">
        <v>0.9769889912839157</v>
      </c>
      <c r="AJ80">
        <v>0.97884978007000312</v>
      </c>
      <c r="AK80">
        <v>0.9903484150564793</v>
      </c>
      <c r="AL80">
        <v>0.99457446508352254</v>
      </c>
      <c r="AM80" s="10">
        <f t="shared" si="15"/>
        <v>11.5</v>
      </c>
      <c r="AN80">
        <v>3.2216693388570368E-2</v>
      </c>
      <c r="AO80">
        <v>3.0507947827165809E-2</v>
      </c>
      <c r="AP80">
        <v>2.2994408499873342E-2</v>
      </c>
      <c r="AQ80">
        <v>2.2687991834916051E-2</v>
      </c>
      <c r="AR80">
        <v>1.3480358781908629E-2</v>
      </c>
    </row>
    <row r="81" spans="1:44" x14ac:dyDescent="0.2">
      <c r="U81" s="86">
        <f t="shared" si="12"/>
        <v>20</v>
      </c>
      <c r="V81">
        <v>1</v>
      </c>
      <c r="W81">
        <v>0.99999999999999989</v>
      </c>
      <c r="X81">
        <v>0.99999999999999989</v>
      </c>
      <c r="Y81">
        <v>0.99999999999999989</v>
      </c>
      <c r="Z81">
        <v>1</v>
      </c>
      <c r="AA81" s="10">
        <f t="shared" si="13"/>
        <v>12</v>
      </c>
      <c r="AB81">
        <v>2.9581326183195551E-2</v>
      </c>
      <c r="AC81">
        <v>2.680596148696698E-2</v>
      </c>
      <c r="AD81">
        <v>1.764242026213874E-2</v>
      </c>
      <c r="AE81">
        <v>1.842914186398149E-2</v>
      </c>
      <c r="AF81">
        <v>1.254390673222989E-2</v>
      </c>
      <c r="AG81" s="86">
        <f t="shared" si="14"/>
        <v>20</v>
      </c>
      <c r="AH81">
        <v>1</v>
      </c>
      <c r="AI81">
        <v>0.99999999999999989</v>
      </c>
      <c r="AJ81">
        <v>1</v>
      </c>
      <c r="AK81">
        <v>0.99999999999999989</v>
      </c>
      <c r="AL81">
        <v>1</v>
      </c>
      <c r="AM81" s="10">
        <f t="shared" si="15"/>
        <v>12</v>
      </c>
      <c r="AN81">
        <v>3.059868224511272E-2</v>
      </c>
      <c r="AO81">
        <v>2.9685856041631861E-2</v>
      </c>
      <c r="AP81">
        <v>2.1632512043933811E-2</v>
      </c>
      <c r="AQ81">
        <v>2.177354078580852E-2</v>
      </c>
      <c r="AR81">
        <v>1.2165931934390591E-2</v>
      </c>
    </row>
    <row r="82" spans="1:44" x14ac:dyDescent="0.2">
      <c r="A82" s="11" t="s">
        <v>145</v>
      </c>
      <c r="B82" s="12"/>
      <c r="C82" s="12"/>
      <c r="D82" s="12"/>
      <c r="E82" s="12"/>
      <c r="F82" s="12"/>
      <c r="G82" s="12"/>
      <c r="H82" s="12"/>
      <c r="I82" s="11"/>
      <c r="J82" s="12"/>
      <c r="K82" s="12"/>
      <c r="L82" s="12"/>
      <c r="M82" s="12"/>
      <c r="N82" s="12"/>
      <c r="O82" s="11"/>
      <c r="P82" s="12"/>
      <c r="Q82" s="12"/>
      <c r="R82" s="12"/>
      <c r="S82" s="12"/>
      <c r="U82" s="86">
        <f t="shared" si="12"/>
        <v>21</v>
      </c>
      <c r="AA82" s="10">
        <f t="shared" si="13"/>
        <v>12.5</v>
      </c>
      <c r="AB82">
        <v>2.8608764889303979E-2</v>
      </c>
      <c r="AC82">
        <v>2.5053205565819189E-2</v>
      </c>
      <c r="AD82">
        <v>1.571703011569903E-2</v>
      </c>
      <c r="AE82">
        <v>1.5817404358810929E-2</v>
      </c>
      <c r="AF82">
        <v>1.0887825917107369E-2</v>
      </c>
      <c r="AG82" s="86">
        <f t="shared" si="14"/>
        <v>21</v>
      </c>
      <c r="AM82" s="10">
        <f t="shared" si="15"/>
        <v>12.5</v>
      </c>
      <c r="AN82">
        <v>2.8245720549219009E-2</v>
      </c>
      <c r="AO82">
        <v>2.744457404881763E-2</v>
      </c>
      <c r="AP82">
        <v>1.9605253647179442E-2</v>
      </c>
      <c r="AQ82">
        <v>1.9313725943408699E-2</v>
      </c>
      <c r="AR82">
        <v>9.3555332084391558E-3</v>
      </c>
    </row>
    <row r="83" spans="1:44" x14ac:dyDescent="0.2">
      <c r="A83" t="s">
        <v>13</v>
      </c>
      <c r="B83">
        <f>D9</f>
        <v>0</v>
      </c>
      <c r="U83" s="86">
        <f t="shared" si="12"/>
        <v>22</v>
      </c>
      <c r="AA83" s="10">
        <f t="shared" si="13"/>
        <v>13</v>
      </c>
      <c r="AB83">
        <v>2.7039045085897429E-2</v>
      </c>
      <c r="AC83">
        <v>2.285272486708146E-2</v>
      </c>
      <c r="AD83">
        <v>1.3481370528294611E-2</v>
      </c>
      <c r="AE83">
        <v>1.345930694166405E-2</v>
      </c>
      <c r="AF83">
        <v>8.6544295029500288E-3</v>
      </c>
      <c r="AG83" s="86">
        <f t="shared" si="14"/>
        <v>22</v>
      </c>
      <c r="AM83" s="10">
        <f t="shared" si="15"/>
        <v>13</v>
      </c>
      <c r="AN83">
        <v>2.580567250566666E-2</v>
      </c>
      <c r="AO83">
        <v>2.4659335877753898E-2</v>
      </c>
      <c r="AP83">
        <v>1.7384619543080491E-2</v>
      </c>
      <c r="AQ83">
        <v>1.6345444005099428E-2</v>
      </c>
      <c r="AR83">
        <v>6.8675059921473906E-3</v>
      </c>
    </row>
    <row r="84" spans="1:44" x14ac:dyDescent="0.2">
      <c r="A84" t="s">
        <v>155</v>
      </c>
      <c r="B84" s="8" t="str">
        <f>C10</f>
        <v/>
      </c>
      <c r="U84" s="86">
        <f t="shared" si="12"/>
        <v>23</v>
      </c>
      <c r="AA84" s="10">
        <f t="shared" si="13"/>
        <v>13.5</v>
      </c>
      <c r="AB84">
        <v>2.4933940982359661E-2</v>
      </c>
      <c r="AC84">
        <v>2.0372029225823231E-2</v>
      </c>
      <c r="AD84">
        <v>1.12036315776868E-2</v>
      </c>
      <c r="AE84">
        <v>1.1502315921601201E-2</v>
      </c>
      <c r="AF84">
        <v>6.4240337582934627E-3</v>
      </c>
      <c r="AG84" s="86">
        <f t="shared" si="14"/>
        <v>23</v>
      </c>
      <c r="AM84" s="10">
        <f t="shared" si="15"/>
        <v>13.5</v>
      </c>
      <c r="AN84">
        <v>2.3375948288956831E-2</v>
      </c>
      <c r="AO84">
        <v>2.1559975549761919E-2</v>
      </c>
      <c r="AP84">
        <v>1.511758105611407E-2</v>
      </c>
      <c r="AQ84">
        <v>1.3287758785740371E-2</v>
      </c>
      <c r="AR84">
        <v>5.4774547388728549E-3</v>
      </c>
    </row>
    <row r="85" spans="1:44" x14ac:dyDescent="0.2">
      <c r="A85" t="s">
        <v>156</v>
      </c>
      <c r="B85" t="e" cm="1">
        <f t="array" ref="B85">_xlfn.IFS(ISBLANK(B84),"",AND(B84&gt;=20,B84&lt;30,B83=0),0,AND(B84&gt;=30,B84&lt;40,B83=0),1,AND(B84&gt;=40,B84&lt;50,B83=0),2,AND(B84&gt;=50,B84&lt;60,B83=0),3,AND(B84&gt;=60,B84&lt;70,B83=0),4,AND(B84&gt;=70,B84&lt;80,B83=0),5,AND(B84&gt;=20,B84&lt;30,B83=1),6,AND(B84&gt;=30,B84&lt;40,B83=1),7,AND(B84&gt;=40,B84&lt;50,B83=1),8,AND(B84&gt;=50,B84&lt;60,B83=1),9,AND(B84&gt;=60,B84&lt;70,B83=1),10,AND(B84&gt;=70,B84&lt;80,B83=1),11)</f>
        <v>#N/A</v>
      </c>
      <c r="C85" s="4"/>
      <c r="U85" s="86">
        <f t="shared" si="12"/>
        <v>24</v>
      </c>
      <c r="AA85" s="10">
        <f t="shared" si="13"/>
        <v>14</v>
      </c>
      <c r="AB85">
        <v>2.2430447493440871E-2</v>
      </c>
      <c r="AC85">
        <v>1.8222660637070679E-2</v>
      </c>
      <c r="AD85">
        <v>9.2523638956464281E-3</v>
      </c>
      <c r="AE85">
        <v>1.033699616747579E-2</v>
      </c>
      <c r="AF85">
        <v>4.5922447075137478E-3</v>
      </c>
      <c r="AG85" s="86">
        <f t="shared" si="14"/>
        <v>24</v>
      </c>
      <c r="AM85" s="10">
        <f t="shared" si="15"/>
        <v>14</v>
      </c>
      <c r="AN85">
        <v>2.1208603821298591E-2</v>
      </c>
      <c r="AO85">
        <v>1.8716006182139189E-2</v>
      </c>
      <c r="AP85">
        <v>1.3227899360152919E-2</v>
      </c>
      <c r="AQ85">
        <v>1.0644885138661429E-2</v>
      </c>
      <c r="AR85">
        <v>5.3846762395699009E-3</v>
      </c>
    </row>
    <row r="86" spans="1:44" x14ac:dyDescent="0.2">
      <c r="U86" s="86">
        <f t="shared" si="12"/>
        <v>25</v>
      </c>
      <c r="AA86" s="10">
        <f t="shared" si="13"/>
        <v>14.5</v>
      </c>
      <c r="AB86">
        <v>2.015943759247105E-2</v>
      </c>
      <c r="AC86">
        <v>1.6825965590361279E-2</v>
      </c>
      <c r="AD86">
        <v>8.2447599403337127E-3</v>
      </c>
      <c r="AE86">
        <v>9.8508119937096867E-3</v>
      </c>
      <c r="AF86">
        <v>3.3110979047854508E-3</v>
      </c>
      <c r="AG86" s="86">
        <f t="shared" si="14"/>
        <v>25</v>
      </c>
      <c r="AM86" s="10">
        <f t="shared" si="15"/>
        <v>14.5</v>
      </c>
      <c r="AN86">
        <v>1.9304434989140591E-2</v>
      </c>
      <c r="AO86">
        <v>1.6425580408149079E-2</v>
      </c>
      <c r="AP86">
        <v>1.1995988535630209E-2</v>
      </c>
      <c r="AQ86">
        <v>8.8620220636538259E-3</v>
      </c>
      <c r="AR86">
        <v>6.2428539706236158E-3</v>
      </c>
    </row>
    <row r="87" spans="1:44" x14ac:dyDescent="0.2">
      <c r="A87" s="20" t="s">
        <v>134</v>
      </c>
      <c r="U87" s="86">
        <f t="shared" si="12"/>
        <v>26</v>
      </c>
      <c r="AA87" s="10">
        <f t="shared" si="13"/>
        <v>15</v>
      </c>
      <c r="AB87">
        <v>1.8133770535705029E-2</v>
      </c>
      <c r="AC87">
        <v>1.585906052334982E-2</v>
      </c>
      <c r="AD87">
        <v>7.8986458839025268E-3</v>
      </c>
      <c r="AE87">
        <v>9.5010426480951794E-3</v>
      </c>
      <c r="AF87">
        <v>2.5716198130123521E-3</v>
      </c>
      <c r="AG87" s="86">
        <f t="shared" si="14"/>
        <v>26</v>
      </c>
      <c r="AM87" s="10">
        <f t="shared" si="15"/>
        <v>15</v>
      </c>
      <c r="AN87">
        <v>1.7538913350046832E-2</v>
      </c>
      <c r="AO87">
        <v>1.44207850184449E-2</v>
      </c>
      <c r="AP87">
        <v>1.112567554904568E-2</v>
      </c>
      <c r="AQ87">
        <v>7.5753097209513313E-3</v>
      </c>
      <c r="AR87">
        <v>6.6170803369475662E-3</v>
      </c>
    </row>
    <row r="88" spans="1:44" x14ac:dyDescent="0.2">
      <c r="A88" s="4" t="s">
        <v>25</v>
      </c>
      <c r="U88" s="86">
        <f t="shared" si="12"/>
        <v>27</v>
      </c>
      <c r="AA88" s="10">
        <f t="shared" si="13"/>
        <v>15.5</v>
      </c>
      <c r="AB88">
        <v>1.6602687192798948E-2</v>
      </c>
      <c r="AC88">
        <v>1.521470064001478E-2</v>
      </c>
      <c r="AD88">
        <v>7.9894076420415558E-3</v>
      </c>
      <c r="AE88">
        <v>9.1313381689242332E-3</v>
      </c>
      <c r="AF88">
        <v>2.1139499390373752E-3</v>
      </c>
      <c r="AG88" s="86">
        <f t="shared" si="14"/>
        <v>27</v>
      </c>
      <c r="AM88" s="10">
        <f t="shared" si="15"/>
        <v>15.5</v>
      </c>
      <c r="AN88">
        <v>1.588124985874962E-2</v>
      </c>
      <c r="AO88">
        <v>1.263340172396113E-2</v>
      </c>
      <c r="AP88">
        <v>1.0550799100899009E-2</v>
      </c>
      <c r="AQ88">
        <v>6.6430478197796817E-3</v>
      </c>
      <c r="AR88">
        <v>5.2847528220276233E-3</v>
      </c>
    </row>
    <row r="89" spans="1:44" x14ac:dyDescent="0.2">
      <c r="A89" s="4" t="s">
        <v>16</v>
      </c>
      <c r="C89" s="22"/>
      <c r="D89" s="22"/>
      <c r="E89" s="22"/>
      <c r="F89" s="22"/>
      <c r="G89" s="22"/>
      <c r="I89" s="22"/>
      <c r="J89" s="22"/>
      <c r="K89" s="22"/>
      <c r="L89" s="22"/>
      <c r="M89" s="22"/>
      <c r="O89" s="22">
        <v>0.94367730000000005</v>
      </c>
      <c r="P89" s="22">
        <v>0.84065314199999996</v>
      </c>
      <c r="Q89" s="22">
        <v>0.71968486899999995</v>
      </c>
      <c r="R89" s="22">
        <v>0.85381142300000001</v>
      </c>
      <c r="S89" s="22">
        <v>0.69944430800000001</v>
      </c>
      <c r="U89" s="86">
        <f t="shared" si="12"/>
        <v>28</v>
      </c>
      <c r="AA89" s="10">
        <f t="shared" si="13"/>
        <v>16</v>
      </c>
      <c r="AB89">
        <v>1.527801400471385E-2</v>
      </c>
      <c r="AC89">
        <v>1.4047019571694311E-2</v>
      </c>
      <c r="AD89">
        <v>8.0599438573779828E-3</v>
      </c>
      <c r="AE89">
        <v>8.3305311180824678E-3</v>
      </c>
      <c r="AF89">
        <v>1.733521646117819E-3</v>
      </c>
      <c r="AG89" s="86">
        <f t="shared" si="14"/>
        <v>28</v>
      </c>
      <c r="AM89" s="10">
        <f t="shared" si="15"/>
        <v>16</v>
      </c>
      <c r="AN89">
        <v>1.4120199055770589E-2</v>
      </c>
      <c r="AO89">
        <v>1.097218217521463E-2</v>
      </c>
      <c r="AP89">
        <v>9.7155587999362535E-3</v>
      </c>
      <c r="AQ89">
        <v>5.8830110380405573E-3</v>
      </c>
      <c r="AR89">
        <v>3.678692787796423E-3</v>
      </c>
    </row>
    <row r="90" spans="1:44" x14ac:dyDescent="0.2">
      <c r="A90" s="4" t="s">
        <v>177</v>
      </c>
      <c r="C90" s="22"/>
      <c r="D90" s="22"/>
      <c r="E90" s="22"/>
      <c r="F90" s="22"/>
      <c r="G90" s="22"/>
      <c r="I90" s="22"/>
      <c r="J90" s="22"/>
      <c r="K90" s="22"/>
      <c r="L90" s="22"/>
      <c r="M90" s="22"/>
      <c r="O90" s="22">
        <v>-2.0352229999999999E-2</v>
      </c>
      <c r="P90" s="22">
        <v>-1.2526883000000001E-2</v>
      </c>
      <c r="Q90" s="22">
        <v>1.5037760000000001E-2</v>
      </c>
      <c r="R90" s="22">
        <v>1.20063614E-2</v>
      </c>
      <c r="S90" s="22">
        <v>3.3978334999999998E-2</v>
      </c>
      <c r="U90" s="86">
        <f t="shared" si="12"/>
        <v>29</v>
      </c>
      <c r="AA90" s="10">
        <f t="shared" si="13"/>
        <v>16.5</v>
      </c>
      <c r="AB90">
        <v>1.422497472960548E-2</v>
      </c>
      <c r="AC90">
        <v>1.2500407360657891E-2</v>
      </c>
      <c r="AD90">
        <v>7.3728396977631779E-3</v>
      </c>
      <c r="AE90">
        <v>7.2953443533644311E-3</v>
      </c>
      <c r="AF90">
        <v>1.204790882080167E-3</v>
      </c>
      <c r="AG90" s="86">
        <f t="shared" si="14"/>
        <v>29</v>
      </c>
      <c r="AM90" s="10">
        <f t="shared" si="15"/>
        <v>16.5</v>
      </c>
      <c r="AN90">
        <v>1.2262116560715561E-2</v>
      </c>
      <c r="AO90">
        <v>9.4936513137990237E-3</v>
      </c>
      <c r="AP90">
        <v>8.615026344496575E-3</v>
      </c>
      <c r="AQ90">
        <v>4.913141372254232E-3</v>
      </c>
      <c r="AR90">
        <v>2.467590762441187E-3</v>
      </c>
    </row>
    <row r="91" spans="1:44" x14ac:dyDescent="0.2">
      <c r="A91" s="4" t="s">
        <v>147</v>
      </c>
      <c r="C91" s="22"/>
      <c r="D91" s="22"/>
      <c r="E91" s="22"/>
      <c r="F91" s="22"/>
      <c r="G91" s="22"/>
      <c r="I91" s="22"/>
      <c r="J91" s="22"/>
      <c r="K91" s="22"/>
      <c r="L91" s="22"/>
      <c r="M91" s="22"/>
      <c r="O91" s="22">
        <v>-3.6640349999999999E-5</v>
      </c>
      <c r="P91" s="22">
        <v>1.721937E-3</v>
      </c>
      <c r="Q91" s="22">
        <v>2.7630549999999999E-3</v>
      </c>
      <c r="R91" s="22">
        <v>-3.5175860000000002E-4</v>
      </c>
      <c r="S91" s="22">
        <v>1.7177729999999999E-3</v>
      </c>
      <c r="U91" s="86">
        <f t="shared" si="12"/>
        <v>30</v>
      </c>
      <c r="AA91" s="10">
        <f t="shared" si="13"/>
        <v>17</v>
      </c>
      <c r="AB91">
        <v>1.338864363666523E-2</v>
      </c>
      <c r="AC91">
        <v>1.085670382033767E-2</v>
      </c>
      <c r="AD91">
        <v>6.4824003440508869E-3</v>
      </c>
      <c r="AE91">
        <v>6.258330913784433E-3</v>
      </c>
      <c r="AF91">
        <v>6.0892880445259667E-4</v>
      </c>
      <c r="AG91" s="86">
        <f t="shared" si="14"/>
        <v>30</v>
      </c>
      <c r="AM91" s="10">
        <f t="shared" si="15"/>
        <v>17</v>
      </c>
      <c r="AN91">
        <v>1.047648237299585E-2</v>
      </c>
      <c r="AO91">
        <v>8.3901655380511676E-3</v>
      </c>
      <c r="AP91">
        <v>7.490104571043989E-3</v>
      </c>
      <c r="AQ91">
        <v>3.9879854034868779E-3</v>
      </c>
      <c r="AR91">
        <v>1.913494729416438E-3</v>
      </c>
    </row>
    <row r="92" spans="1:44" x14ac:dyDescent="0.2">
      <c r="A92" s="4" t="s">
        <v>17</v>
      </c>
      <c r="C92" s="8"/>
      <c r="D92" s="8"/>
      <c r="E92" s="8"/>
      <c r="F92" s="8"/>
      <c r="G92" s="8"/>
      <c r="O92" s="9" t="e">
        <f>O89+($B$83*O90)+($B$84*O91)</f>
        <v>#VALUE!</v>
      </c>
      <c r="P92" s="9" t="e">
        <f t="shared" ref="P92:S92" si="17">P89+($B$83*P90)+($B$84*P91)</f>
        <v>#VALUE!</v>
      </c>
      <c r="Q92" s="9" t="e">
        <f t="shared" si="17"/>
        <v>#VALUE!</v>
      </c>
      <c r="R92" s="9" t="e">
        <f t="shared" si="17"/>
        <v>#VALUE!</v>
      </c>
      <c r="S92" s="9" t="e">
        <f t="shared" si="17"/>
        <v>#VALUE!</v>
      </c>
      <c r="U92" s="86">
        <f t="shared" si="12"/>
        <v>31</v>
      </c>
      <c r="AA92" s="10">
        <f t="shared" si="13"/>
        <v>17.5</v>
      </c>
      <c r="AB92">
        <v>1.338014440066277E-2</v>
      </c>
      <c r="AC92">
        <v>9.8106204837185226E-3</v>
      </c>
      <c r="AD92">
        <v>5.9169251527085836E-3</v>
      </c>
      <c r="AE92">
        <v>5.3960219125796724E-3</v>
      </c>
      <c r="AF92">
        <v>2.6135868304901421E-4</v>
      </c>
      <c r="AG92" s="86">
        <f t="shared" si="14"/>
        <v>31</v>
      </c>
      <c r="AM92" s="10">
        <f t="shared" si="15"/>
        <v>17.5</v>
      </c>
      <c r="AN92">
        <v>8.9313423941075904E-3</v>
      </c>
      <c r="AO92">
        <v>7.8293627348296375E-3</v>
      </c>
      <c r="AP92">
        <v>6.6041450073287423E-3</v>
      </c>
      <c r="AQ92">
        <v>3.30873371628601E-3</v>
      </c>
      <c r="AR92">
        <v>1.7008971478590089E-3</v>
      </c>
    </row>
    <row r="93" spans="1:44" x14ac:dyDescent="0.2">
      <c r="U93" s="86">
        <f t="shared" si="12"/>
        <v>32</v>
      </c>
      <c r="AA93" s="10">
        <f t="shared" si="13"/>
        <v>18</v>
      </c>
      <c r="AB93">
        <v>1.4108228419588789E-2</v>
      </c>
      <c r="AC93">
        <v>9.8311171173595651E-3</v>
      </c>
      <c r="AD93">
        <v>6.3289894863184631E-3</v>
      </c>
      <c r="AE93">
        <v>5.1283229941311136E-3</v>
      </c>
      <c r="AF93">
        <v>3.1056183406066341E-4</v>
      </c>
      <c r="AG93" s="86">
        <f t="shared" si="14"/>
        <v>32</v>
      </c>
      <c r="AM93" s="10">
        <f t="shared" si="15"/>
        <v>18</v>
      </c>
      <c r="AN93">
        <v>8.1051531169664143E-3</v>
      </c>
      <c r="AO93">
        <v>8.1029412658740543E-3</v>
      </c>
      <c r="AP93">
        <v>6.7425770582894267E-3</v>
      </c>
      <c r="AQ93">
        <v>3.1774631115109408E-3</v>
      </c>
      <c r="AR93">
        <v>1.397135425420566E-3</v>
      </c>
    </row>
    <row r="94" spans="1:44" x14ac:dyDescent="0.2">
      <c r="A94" s="4" t="s">
        <v>19</v>
      </c>
      <c r="U94" s="86">
        <f t="shared" si="12"/>
        <v>33</v>
      </c>
      <c r="AA94" s="10">
        <f t="shared" si="13"/>
        <v>18.5</v>
      </c>
      <c r="AB94">
        <v>1.5827904542398082E-2</v>
      </c>
      <c r="AC94">
        <v>1.1440280899849491E-2</v>
      </c>
      <c r="AD94">
        <v>7.9680276613874283E-3</v>
      </c>
      <c r="AE94">
        <v>5.3490638080935203E-3</v>
      </c>
      <c r="AF94">
        <v>8.5658625333919923E-4</v>
      </c>
      <c r="AG94" s="86">
        <f t="shared" si="14"/>
        <v>33</v>
      </c>
      <c r="AM94" s="10">
        <f t="shared" si="15"/>
        <v>18.5</v>
      </c>
      <c r="AN94">
        <v>7.8402237010950157E-3</v>
      </c>
      <c r="AO94">
        <v>9.1367539512496997E-3</v>
      </c>
      <c r="AP94">
        <v>7.8181355348500448E-3</v>
      </c>
      <c r="AQ94">
        <v>3.6103789596202631E-3</v>
      </c>
      <c r="AR94">
        <v>1.2378456050984919E-3</v>
      </c>
    </row>
    <row r="95" spans="1:44" x14ac:dyDescent="0.2">
      <c r="A95" s="4" t="s">
        <v>157</v>
      </c>
      <c r="B95">
        <v>0</v>
      </c>
      <c r="C95" s="22"/>
      <c r="D95" s="22"/>
      <c r="E95" s="22"/>
      <c r="F95" s="22"/>
      <c r="G95" s="22"/>
      <c r="I95" s="22"/>
      <c r="J95" s="22"/>
      <c r="K95" s="22"/>
      <c r="L95" s="22"/>
      <c r="M95" s="22"/>
      <c r="O95" s="65">
        <v>0.19330339999999999</v>
      </c>
      <c r="P95" s="22">
        <v>0.1867394</v>
      </c>
      <c r="Q95" s="22">
        <v>0.17979029999999999</v>
      </c>
      <c r="R95" s="22">
        <v>0.1930395</v>
      </c>
      <c r="S95" s="22">
        <v>0.14622859999999999</v>
      </c>
      <c r="U95" s="86">
        <f t="shared" si="12"/>
        <v>34</v>
      </c>
      <c r="AA95" s="10">
        <f t="shared" si="13"/>
        <v>19</v>
      </c>
      <c r="AB95">
        <v>1.8248720612327501E-2</v>
      </c>
      <c r="AC95">
        <v>1.4089811154853121E-2</v>
      </c>
      <c r="AD95">
        <v>1.092396564025537E-2</v>
      </c>
      <c r="AE95">
        <v>6.0634563587397576E-3</v>
      </c>
      <c r="AF95">
        <v>2.260961271757156E-3</v>
      </c>
      <c r="AG95" s="86">
        <f t="shared" si="14"/>
        <v>34</v>
      </c>
      <c r="AM95" s="10">
        <f t="shared" si="15"/>
        <v>19</v>
      </c>
      <c r="AN95">
        <v>8.0838946139348694E-3</v>
      </c>
      <c r="AO95">
        <v>1.072202724424659E-2</v>
      </c>
      <c r="AP95">
        <v>9.6572103661574996E-3</v>
      </c>
      <c r="AQ95">
        <v>4.3222689110380772E-3</v>
      </c>
      <c r="AR95">
        <v>1.7815619568724631E-3</v>
      </c>
    </row>
    <row r="96" spans="1:44" x14ac:dyDescent="0.2">
      <c r="A96" s="4" t="s">
        <v>160</v>
      </c>
      <c r="B96">
        <v>1</v>
      </c>
      <c r="C96" s="22"/>
      <c r="D96" s="22"/>
      <c r="E96" s="22"/>
      <c r="F96" s="22"/>
      <c r="G96" s="22"/>
      <c r="I96" s="22"/>
      <c r="J96" s="22"/>
      <c r="K96" s="22"/>
      <c r="L96" s="22"/>
      <c r="M96" s="22"/>
      <c r="O96" s="65">
        <v>0.17790069999999999</v>
      </c>
      <c r="P96" s="22">
        <v>0.1792666</v>
      </c>
      <c r="Q96" s="22">
        <v>0.16411780000000001</v>
      </c>
      <c r="R96" s="22">
        <v>0.18763940000000001</v>
      </c>
      <c r="S96" s="22">
        <v>0.1384561</v>
      </c>
      <c r="U96" s="86">
        <f t="shared" si="12"/>
        <v>35</v>
      </c>
      <c r="AA96" s="10">
        <f t="shared" si="13"/>
        <v>19.5</v>
      </c>
      <c r="AB96">
        <v>2.0177991084387101E-2</v>
      </c>
      <c r="AC96">
        <v>1.6441095210634391E-2</v>
      </c>
      <c r="AD96">
        <v>1.38356263283161E-2</v>
      </c>
      <c r="AE96">
        <v>6.9821640952588328E-3</v>
      </c>
      <c r="AF96">
        <v>4.1739479097562772E-3</v>
      </c>
      <c r="AG96" s="86">
        <f t="shared" si="14"/>
        <v>35</v>
      </c>
      <c r="AM96" s="10">
        <f t="shared" si="15"/>
        <v>19.5</v>
      </c>
      <c r="AN96">
        <v>8.6430920661537142E-3</v>
      </c>
      <c r="AO96">
        <v>1.2282224856331229E-2</v>
      </c>
      <c r="AP96">
        <v>1.147435607348448E-2</v>
      </c>
      <c r="AQ96">
        <v>4.9933918430640533E-3</v>
      </c>
      <c r="AR96">
        <v>3.1162454336269639E-3</v>
      </c>
    </row>
    <row r="97" spans="1:92" x14ac:dyDescent="0.2">
      <c r="A97" s="4" t="s">
        <v>159</v>
      </c>
      <c r="B97">
        <v>2</v>
      </c>
      <c r="C97" s="22"/>
      <c r="D97" s="22"/>
      <c r="E97" s="22"/>
      <c r="F97" s="22"/>
      <c r="G97" s="22"/>
      <c r="I97" s="22"/>
      <c r="J97" s="22"/>
      <c r="K97" s="22"/>
      <c r="L97" s="22"/>
      <c r="M97" s="22"/>
      <c r="O97" s="65">
        <v>0.219828</v>
      </c>
      <c r="P97" s="22">
        <v>0.22444210000000001</v>
      </c>
      <c r="Q97" s="22">
        <v>0.1869797</v>
      </c>
      <c r="R97" s="22">
        <v>0.19738</v>
      </c>
      <c r="S97" s="22">
        <v>0.16671340000000001</v>
      </c>
      <c r="U97" s="86">
        <f t="shared" si="12"/>
        <v>36</v>
      </c>
      <c r="AA97" s="10">
        <f t="shared" si="13"/>
        <v>20</v>
      </c>
      <c r="AB97">
        <v>2.1396500047501769E-2</v>
      </c>
      <c r="AC97">
        <v>1.75044157097488E-2</v>
      </c>
      <c r="AD97">
        <v>1.5030214839427019E-2</v>
      </c>
      <c r="AE97">
        <v>7.2748669123583812E-3</v>
      </c>
      <c r="AF97">
        <v>4.8762507337200061E-3</v>
      </c>
      <c r="AG97" s="86">
        <f t="shared" si="14"/>
        <v>36</v>
      </c>
      <c r="AM97" s="10">
        <f t="shared" si="15"/>
        <v>20</v>
      </c>
      <c r="AN97">
        <v>8.8175975721718983E-3</v>
      </c>
      <c r="AO97">
        <v>1.27945015713067E-2</v>
      </c>
      <c r="AP97">
        <v>1.206929610368032E-2</v>
      </c>
      <c r="AQ97">
        <v>5.2482127248999894E-3</v>
      </c>
      <c r="AR97">
        <v>4.4015005460235198E-3</v>
      </c>
    </row>
    <row r="98" spans="1:92" x14ac:dyDescent="0.2">
      <c r="A98" s="4" t="s">
        <v>161</v>
      </c>
      <c r="B98">
        <v>3</v>
      </c>
      <c r="C98" s="22"/>
      <c r="D98" s="22"/>
      <c r="E98" s="22"/>
      <c r="F98" s="22"/>
      <c r="G98" s="22"/>
      <c r="I98" s="22"/>
      <c r="J98" s="22"/>
      <c r="K98" s="22"/>
      <c r="L98" s="22"/>
      <c r="M98" s="22"/>
      <c r="O98" s="65">
        <v>0.21988920000000001</v>
      </c>
      <c r="P98" s="22">
        <v>0.20378979999999999</v>
      </c>
      <c r="Q98" s="22">
        <v>0.2049395</v>
      </c>
      <c r="R98" s="22">
        <v>0.21512149999999999</v>
      </c>
      <c r="S98" s="22">
        <v>0.1640664</v>
      </c>
    </row>
    <row r="99" spans="1:92" x14ac:dyDescent="0.2">
      <c r="A99" s="4" t="s">
        <v>162</v>
      </c>
      <c r="B99">
        <v>4</v>
      </c>
      <c r="C99" s="22"/>
      <c r="D99" s="22"/>
      <c r="E99" s="22"/>
      <c r="F99" s="22"/>
      <c r="G99" s="22"/>
      <c r="I99" s="22"/>
      <c r="J99" s="22"/>
      <c r="K99" s="22"/>
      <c r="L99" s="22"/>
      <c r="M99" s="22"/>
      <c r="O99" s="65">
        <v>0.24331549999999999</v>
      </c>
      <c r="P99" s="22">
        <v>0.2203368</v>
      </c>
      <c r="Q99" s="22">
        <v>0.22577340000000001</v>
      </c>
      <c r="R99" s="22">
        <v>0.21493570000000001</v>
      </c>
      <c r="S99" s="22">
        <v>0.19275010000000001</v>
      </c>
      <c r="U99" s="11" t="s">
        <v>144</v>
      </c>
      <c r="V99" s="12"/>
      <c r="W99" s="12"/>
      <c r="X99" s="90"/>
      <c r="Y99" s="90" t="s">
        <v>206</v>
      </c>
      <c r="Z99" s="12">
        <v>3</v>
      </c>
      <c r="AA99" s="12"/>
      <c r="AB99" s="12"/>
      <c r="AC99" s="11"/>
      <c r="AD99" s="12"/>
      <c r="AE99" s="12"/>
      <c r="AF99" s="12"/>
      <c r="AG99" s="12"/>
      <c r="AH99" s="12"/>
      <c r="AI99" s="11"/>
      <c r="AJ99" s="12"/>
      <c r="AK99" s="12"/>
      <c r="AL99" s="12"/>
      <c r="AM99" s="12"/>
      <c r="AN99" s="34"/>
      <c r="AO99" s="34"/>
      <c r="AP99" s="34"/>
      <c r="AQ99" s="34"/>
      <c r="AR99" s="34"/>
    </row>
    <row r="100" spans="1:92" x14ac:dyDescent="0.2">
      <c r="A100" s="4" t="s">
        <v>163</v>
      </c>
      <c r="B100">
        <v>5</v>
      </c>
      <c r="C100" s="22"/>
      <c r="D100" s="22"/>
      <c r="E100" s="22"/>
      <c r="F100" s="22"/>
      <c r="G100" s="22"/>
      <c r="I100" s="22"/>
      <c r="J100" s="22"/>
      <c r="K100" s="22"/>
      <c r="L100" s="22"/>
      <c r="M100" s="22"/>
      <c r="O100" s="65">
        <v>0.26615929999999999</v>
      </c>
      <c r="P100" s="22">
        <v>0.25011800000000001</v>
      </c>
      <c r="Q100" s="22">
        <v>0.25118370000000001</v>
      </c>
      <c r="R100" s="22">
        <v>0.24228810000000001</v>
      </c>
      <c r="S100" s="22">
        <v>0.19560179999999999</v>
      </c>
      <c r="U100" s="4" t="s">
        <v>155</v>
      </c>
      <c r="V100" s="8" t="str">
        <f>$C$10</f>
        <v/>
      </c>
      <c r="W100" t="s">
        <v>156</v>
      </c>
      <c r="X100" t="e" cm="1">
        <f t="array" ref="X100">_xlfn.IFS(ISBLANK(V100),"",AND(V100&gt;=20,V100&lt;30),0,AND(V100&gt;=30,V100&lt;40),1,AND(V100&gt;=40,V100&lt;50),2,AND(V100&gt;=50,V100&lt;60),3,AND(V100&gt;=60,V100&lt;70),4,AND(V100&gt;=70,V100&lt;80),5)</f>
        <v>#N/A</v>
      </c>
      <c r="Y100" s="4"/>
      <c r="AN100" s="64"/>
      <c r="AO100" s="64"/>
      <c r="AP100" s="64"/>
      <c r="AQ100" s="64"/>
      <c r="AR100" s="64"/>
    </row>
    <row r="101" spans="1:92" x14ac:dyDescent="0.2">
      <c r="A101" s="4" t="s">
        <v>164</v>
      </c>
      <c r="B101">
        <v>6</v>
      </c>
      <c r="C101" s="22"/>
      <c r="D101" s="22"/>
      <c r="E101" s="22"/>
      <c r="F101" s="22"/>
      <c r="G101" s="22"/>
      <c r="I101" s="22"/>
      <c r="J101" s="22"/>
      <c r="K101" s="22"/>
      <c r="L101" s="22"/>
      <c r="M101" s="22"/>
      <c r="O101" s="65">
        <v>0.16608800000000001</v>
      </c>
      <c r="P101" s="22">
        <v>0.15532889999999999</v>
      </c>
      <c r="Q101" s="22">
        <v>0.16843939999999999</v>
      </c>
      <c r="R101" s="22">
        <v>0.185838</v>
      </c>
      <c r="S101" s="22">
        <v>0.13394880000000001</v>
      </c>
      <c r="U101" s="4" t="s">
        <v>8</v>
      </c>
      <c r="V101" t="e" cm="1">
        <f t="array" ref="V101">_xlfn.IFS($X$100=$W$102,V103,$X$100=$AI$102,AH103,$X$100=$AU$102,AT103,$X$100=$BG$102,BF103,$X$100=$BS$102,BR103,$X$100=$CE$102,CD103)</f>
        <v>#N/A</v>
      </c>
      <c r="W101" t="e" cm="1">
        <f t="array" ref="W101">_xlfn.IFS($X$100=$W$102,W103,$X$100=$AI$102,AI103,$X$100=$AU$102,AU103,$X$100=$BG$102,BG103,$X$100=$BS$102,BS103,$X$100=$CE$102,CE103)</f>
        <v>#N/A</v>
      </c>
      <c r="X101" t="e" cm="1">
        <f t="array" ref="X101">_xlfn.IFS($X$100=$W$102,X103,$X$100=$AI$102,AJ103,$X$100=$AU$102,AV103,$X$100=$BG$102,BH103,$X$100=$BS$102,BT103,$X$100=$CE$102,CF103)</f>
        <v>#N/A</v>
      </c>
      <c r="Y101" t="e" cm="1">
        <f t="array" ref="Y101">_xlfn.IFS($X$100=$W$102,Y103,$X$100=$AI$102,AK103,$X$100=$AU$102,AW103,$X$100=$BG$102,BI103,$X$100=$BS$102,BU103,$X$100=$CE$102,CG103)</f>
        <v>#N/A</v>
      </c>
      <c r="Z101" t="e" cm="1">
        <f t="array" ref="Z101">_xlfn.IFS($X$100=$W$102,Z103,$X$100=$AI$102,AL103,$X$100=$AU$102,AX103,$X$100=$BG$102,BJ103,$X$100=$BS$102,BV103,$X$100=$CE$102,CH103)</f>
        <v>#N/A</v>
      </c>
    </row>
    <row r="102" spans="1:92" x14ac:dyDescent="0.2">
      <c r="A102" s="4" t="s">
        <v>158</v>
      </c>
      <c r="B102">
        <v>7</v>
      </c>
      <c r="C102" s="22"/>
      <c r="D102" s="22"/>
      <c r="E102" s="22"/>
      <c r="F102" s="22"/>
      <c r="G102" s="22"/>
      <c r="I102" s="22"/>
      <c r="J102" s="22"/>
      <c r="K102" s="22"/>
      <c r="L102" s="22"/>
      <c r="M102" s="22"/>
      <c r="O102" s="65">
        <v>0.18434610000000001</v>
      </c>
      <c r="P102" s="22">
        <v>0.19011030000000001</v>
      </c>
      <c r="Q102" s="22">
        <v>0.18534010000000001</v>
      </c>
      <c r="R102" s="22">
        <v>0.19365769999999999</v>
      </c>
      <c r="S102" s="22">
        <v>0.15700910000000001</v>
      </c>
      <c r="U102" s="20" t="s">
        <v>196</v>
      </c>
      <c r="V102" s="4" t="s">
        <v>156</v>
      </c>
      <c r="W102">
        <v>0</v>
      </c>
      <c r="AA102" s="20" t="s">
        <v>193</v>
      </c>
      <c r="AG102" s="20" t="s">
        <v>197</v>
      </c>
      <c r="AH102" s="4" t="s">
        <v>156</v>
      </c>
      <c r="AI102">
        <v>1</v>
      </c>
      <c r="AM102" s="20" t="s">
        <v>193</v>
      </c>
      <c r="AS102" s="20" t="s">
        <v>198</v>
      </c>
      <c r="AT102" s="4" t="s">
        <v>156</v>
      </c>
      <c r="AU102">
        <v>2</v>
      </c>
      <c r="AY102" s="20" t="s">
        <v>193</v>
      </c>
      <c r="BE102" s="20" t="s">
        <v>201</v>
      </c>
      <c r="BF102" s="4" t="s">
        <v>203</v>
      </c>
      <c r="BG102">
        <v>3</v>
      </c>
      <c r="BK102" s="20" t="s">
        <v>193</v>
      </c>
      <c r="BQ102" s="20" t="s">
        <v>200</v>
      </c>
      <c r="BR102" s="4" t="s">
        <v>204</v>
      </c>
      <c r="BS102">
        <v>4</v>
      </c>
      <c r="BW102" s="20" t="s">
        <v>193</v>
      </c>
      <c r="CC102" s="20" t="s">
        <v>199</v>
      </c>
      <c r="CD102" s="4" t="s">
        <v>205</v>
      </c>
      <c r="CE102">
        <v>5</v>
      </c>
      <c r="CI102" s="20" t="s">
        <v>193</v>
      </c>
    </row>
    <row r="103" spans="1:92" x14ac:dyDescent="0.2">
      <c r="A103" s="4" t="s">
        <v>165</v>
      </c>
      <c r="B103">
        <v>8</v>
      </c>
      <c r="C103" s="22"/>
      <c r="D103" s="22"/>
      <c r="E103" s="22"/>
      <c r="F103" s="22"/>
      <c r="G103" s="22"/>
      <c r="I103" s="22"/>
      <c r="J103" s="22"/>
      <c r="K103" s="22"/>
      <c r="L103" s="22"/>
      <c r="M103" s="22"/>
      <c r="O103" s="65">
        <v>0.19536429999999999</v>
      </c>
      <c r="P103" s="22">
        <v>0.18542310000000001</v>
      </c>
      <c r="Q103" s="22">
        <v>0.1929476</v>
      </c>
      <c r="R103" s="22">
        <v>0.17645189999999999</v>
      </c>
      <c r="S103" s="54">
        <v>0.1717998</v>
      </c>
      <c r="U103" s="4" t="s">
        <v>8</v>
      </c>
      <c r="V103" s="89" t="str">
        <f>IFERROR(VLOOKUP($V$4,U$105:Z$137,$V$5,FALSE)*100,"")</f>
        <v/>
      </c>
      <c r="W103" s="89" t="str">
        <f>IFERROR(VLOOKUP($W$4,U$105:Z$137,$W$5,FALSE)*100,"")</f>
        <v/>
      </c>
      <c r="X103" s="89" t="str">
        <f>IFERROR(VLOOKUP($X$4,U$105:Z$137,$X$5,FALSE)*100,"")</f>
        <v/>
      </c>
      <c r="Y103" s="89" t="str">
        <f>IFERROR(VLOOKUP($Y$4,U$105:Z$137,$Y$5,FALSE)*100,"")</f>
        <v/>
      </c>
      <c r="Z103" s="89" t="str">
        <f>IFERROR(VLOOKUP($Z$4,U$105:Z$137,$Z$5,FALSE)*100,"")</f>
        <v/>
      </c>
      <c r="AA103" s="20"/>
      <c r="AB103" s="89"/>
      <c r="AC103" s="89"/>
      <c r="AD103" s="89"/>
      <c r="AE103" s="89"/>
      <c r="AF103" s="89"/>
      <c r="AG103" s="20"/>
      <c r="AH103" s="89" t="str">
        <f>IFERROR(VLOOKUP($V$4,AG$105:AL$137,$V$5,FALSE)*100,"")</f>
        <v/>
      </c>
      <c r="AI103" s="89" t="str">
        <f>IFERROR(VLOOKUP($W$4,AG$105:AL$137,$W$5,FALSE)*100,"")</f>
        <v/>
      </c>
      <c r="AJ103" s="89" t="str">
        <f>IFERROR(VLOOKUP($X$4,AG$105:AL$137,$X$5,FALSE)*100,"")</f>
        <v/>
      </c>
      <c r="AK103" s="89" t="str">
        <f>IFERROR(VLOOKUP($Y$4,AG$105:AL$137,$Y$5,FALSE)*100,"")</f>
        <v/>
      </c>
      <c r="AL103" s="89" t="str">
        <f>IFERROR(VLOOKUP($Z$4,AG$105:AL$137,$Z$5,FALSE)*100,"")</f>
        <v/>
      </c>
      <c r="AM103" s="20"/>
      <c r="AS103" s="20"/>
      <c r="AT103" s="89" t="str">
        <f>IFERROR(VLOOKUP($V$4,AS$105:AX$137,$V$5,FALSE)*100,"")</f>
        <v/>
      </c>
      <c r="AU103" s="89" t="str">
        <f>IFERROR(VLOOKUP($W$4,AS$105:AX$137,$W$5,FALSE)*100,"")</f>
        <v/>
      </c>
      <c r="AV103" s="89" t="str">
        <f>IFERROR(VLOOKUP($X$4,AS$105:AX$137,$X$5,FALSE)*100,"")</f>
        <v/>
      </c>
      <c r="AW103" s="89" t="str">
        <f>IFERROR(VLOOKUP($Y$4,AS$105:AX$137,$Y$5,FALSE)*100,"")</f>
        <v/>
      </c>
      <c r="AX103" s="89" t="str">
        <f>IFERROR(VLOOKUP($Z$4,AS$105:AX$137,$Z$5,FALSE)*100,"")</f>
        <v/>
      </c>
      <c r="AY103" s="20"/>
      <c r="BE103" s="20"/>
      <c r="BF103" s="89" t="str">
        <f>IFERROR(VLOOKUP($V$4,BE$105:BJ$137,$V$5,FALSE)*100,"")</f>
        <v/>
      </c>
      <c r="BG103" s="89" t="str">
        <f>IFERROR(VLOOKUP($W$4,BE$105:BJ$137,$W$5,FALSE)*100,"")</f>
        <v/>
      </c>
      <c r="BH103" s="89" t="str">
        <f>IFERROR(VLOOKUP($X$4,BE$105:BJ$137,$X$5,FALSE)*100,"")</f>
        <v/>
      </c>
      <c r="BI103" s="89" t="str">
        <f>IFERROR(VLOOKUP($Y$4,BE$105:BJ$137,$Y$5,FALSE)*100,"")</f>
        <v/>
      </c>
      <c r="BJ103" s="89" t="str">
        <f>IFERROR(VLOOKUP($Z$4,BE$105:BJ$137,$Z$5,FALSE)*100,"")</f>
        <v/>
      </c>
      <c r="BK103" s="20"/>
      <c r="BQ103" s="20"/>
      <c r="BR103" s="89" t="str">
        <f>IFERROR(VLOOKUP($V$4,BQ$105:BV$137,$V$5,FALSE)*100,"")</f>
        <v/>
      </c>
      <c r="BS103" s="89" t="str">
        <f>IFERROR(VLOOKUP($W$4,BQ$105:BV$137,$W$5,FALSE)*100,"")</f>
        <v/>
      </c>
      <c r="BT103" s="89" t="str">
        <f>IFERROR(VLOOKUP($X$4,BQ$105:BV$137,$X$5,FALSE)*100,"")</f>
        <v/>
      </c>
      <c r="BU103" s="89" t="str">
        <f>IFERROR(VLOOKUP($Y$4,BQ$105:BV$137,$Y$5,FALSE)*100,"")</f>
        <v/>
      </c>
      <c r="BV103" s="89" t="str">
        <f>IFERROR(VLOOKUP($Z$4,BQ$105:BV$137,$Z$5,FALSE)*100,"")</f>
        <v/>
      </c>
      <c r="BW103" s="20"/>
      <c r="CC103" s="20"/>
      <c r="CD103" s="89" t="str">
        <f>IFERROR(VLOOKUP($V$4,CC$105:CH$137,$V$5,FALSE)*100,"")</f>
        <v/>
      </c>
      <c r="CE103" s="89" t="str">
        <f>IFERROR(VLOOKUP($W$4,CC$105:CH$137,$W$5,FALSE)*100,"")</f>
        <v/>
      </c>
      <c r="CF103" s="89" t="str">
        <f>IFERROR(VLOOKUP($X$4,CC$105:CH$137,$X$5,FALSE)*100,"")</f>
        <v/>
      </c>
      <c r="CG103" s="89" t="str">
        <f>IFERROR(VLOOKUP($Y$4,CC$105:CH$137,$Y$5,FALSE)*100,"")</f>
        <v/>
      </c>
      <c r="CH103" s="89" t="str">
        <f>IFERROR(VLOOKUP($Z$4,CC$105:CH$137,$Z$5,FALSE)*100,"")</f>
        <v/>
      </c>
      <c r="CI103" s="20"/>
    </row>
    <row r="104" spans="1:92" x14ac:dyDescent="0.2">
      <c r="A104" s="4" t="s">
        <v>166</v>
      </c>
      <c r="B104">
        <v>9</v>
      </c>
      <c r="C104" s="22"/>
      <c r="D104" s="22"/>
      <c r="E104" s="22"/>
      <c r="F104" s="22"/>
      <c r="G104" s="22"/>
      <c r="I104" s="22"/>
      <c r="J104" s="22"/>
      <c r="K104" s="22"/>
      <c r="L104" s="22"/>
      <c r="M104" s="22"/>
      <c r="O104" s="65">
        <v>0.19939989999999999</v>
      </c>
      <c r="P104" s="22">
        <v>0.20372589999999999</v>
      </c>
      <c r="Q104" s="22">
        <v>0.20346810000000001</v>
      </c>
      <c r="R104" s="22">
        <v>0.18220980000000001</v>
      </c>
      <c r="S104" s="22">
        <v>0.15387410000000001</v>
      </c>
      <c r="U104" t="s">
        <v>189</v>
      </c>
      <c r="V104" s="14" t="str">
        <f>master!$E$3</f>
        <v>General</v>
      </c>
      <c r="W104" s="14" t="str">
        <f>master!$E$4</f>
        <v>Physical</v>
      </c>
      <c r="X104" s="14" t="str">
        <f>master!$E$5</f>
        <v>Activity</v>
      </c>
      <c r="Y104" s="14" t="str">
        <f>master!$E$6</f>
        <v>Mental</v>
      </c>
      <c r="Z104" s="25" t="str">
        <f>master!$E$7</f>
        <v>Motivation</v>
      </c>
      <c r="AA104" t="s">
        <v>189</v>
      </c>
      <c r="AB104" s="14" t="str">
        <f>master!$E$3</f>
        <v>General</v>
      </c>
      <c r="AC104" s="14" t="str">
        <f>master!$E$4</f>
        <v>Physical</v>
      </c>
      <c r="AD104" s="14" t="str">
        <f>master!$E$5</f>
        <v>Activity</v>
      </c>
      <c r="AE104" s="14" t="str">
        <f>master!$E$6</f>
        <v>Mental</v>
      </c>
      <c r="AF104" s="25" t="str">
        <f>master!$E$7</f>
        <v>Motivation</v>
      </c>
      <c r="AG104" t="s">
        <v>189</v>
      </c>
      <c r="AH104" s="14" t="str">
        <f>master!$E$3</f>
        <v>General</v>
      </c>
      <c r="AI104" s="14" t="str">
        <f>master!$E$4</f>
        <v>Physical</v>
      </c>
      <c r="AJ104" s="14" t="str">
        <f>master!$E$5</f>
        <v>Activity</v>
      </c>
      <c r="AK104" s="14" t="str">
        <f>master!$E$6</f>
        <v>Mental</v>
      </c>
      <c r="AL104" s="25" t="str">
        <f>master!$E$7</f>
        <v>Motivation</v>
      </c>
      <c r="AM104" t="s">
        <v>189</v>
      </c>
      <c r="AN104" s="14" t="str">
        <f>master!$E$3</f>
        <v>General</v>
      </c>
      <c r="AO104" s="14" t="str">
        <f>master!$E$4</f>
        <v>Physical</v>
      </c>
      <c r="AP104" s="14" t="str">
        <f>master!$E$5</f>
        <v>Activity</v>
      </c>
      <c r="AQ104" s="14" t="str">
        <f>master!$E$6</f>
        <v>Mental</v>
      </c>
      <c r="AR104" s="25" t="str">
        <f>master!$E$7</f>
        <v>Motivation</v>
      </c>
      <c r="AS104" t="s">
        <v>189</v>
      </c>
      <c r="AT104" s="14" t="str">
        <f>master!$E$3</f>
        <v>General</v>
      </c>
      <c r="AU104" s="14" t="str">
        <f>master!$E$4</f>
        <v>Physical</v>
      </c>
      <c r="AV104" s="14" t="str">
        <f>master!$E$5</f>
        <v>Activity</v>
      </c>
      <c r="AW104" s="14" t="str">
        <f>master!$E$6</f>
        <v>Mental</v>
      </c>
      <c r="AX104" s="25" t="str">
        <f>master!$E$7</f>
        <v>Motivation</v>
      </c>
      <c r="AY104" t="s">
        <v>189</v>
      </c>
      <c r="AZ104" s="14" t="str">
        <f>master!$E$3</f>
        <v>General</v>
      </c>
      <c r="BA104" s="14" t="str">
        <f>master!$E$4</f>
        <v>Physical</v>
      </c>
      <c r="BB104" s="14" t="str">
        <f>master!$E$5</f>
        <v>Activity</v>
      </c>
      <c r="BC104" s="14" t="str">
        <f>master!$E$6</f>
        <v>Mental</v>
      </c>
      <c r="BD104" s="25" t="str">
        <f>master!$E$7</f>
        <v>Motivation</v>
      </c>
      <c r="BE104" t="s">
        <v>189</v>
      </c>
      <c r="BF104" s="14" t="str">
        <f>master!$E$3</f>
        <v>General</v>
      </c>
      <c r="BG104" s="14" t="str">
        <f>master!$E$4</f>
        <v>Physical</v>
      </c>
      <c r="BH104" s="14" t="str">
        <f>master!$E$5</f>
        <v>Activity</v>
      </c>
      <c r="BI104" s="14" t="str">
        <f>master!$E$6</f>
        <v>Mental</v>
      </c>
      <c r="BJ104" s="25" t="str">
        <f>master!$E$7</f>
        <v>Motivation</v>
      </c>
      <c r="BK104" t="s">
        <v>189</v>
      </c>
      <c r="BL104" s="14" t="str">
        <f>master!$E$3</f>
        <v>General</v>
      </c>
      <c r="BM104" s="14" t="str">
        <f>master!$E$4</f>
        <v>Physical</v>
      </c>
      <c r="BN104" s="14" t="str">
        <f>master!$E$5</f>
        <v>Activity</v>
      </c>
      <c r="BO104" s="14" t="str">
        <f>master!$E$6</f>
        <v>Mental</v>
      </c>
      <c r="BP104" s="25" t="str">
        <f>master!$E$7</f>
        <v>Motivation</v>
      </c>
      <c r="BQ104" t="s">
        <v>189</v>
      </c>
      <c r="BR104" s="14" t="str">
        <f>master!$E$3</f>
        <v>General</v>
      </c>
      <c r="BS104" s="14" t="str">
        <f>master!$E$4</f>
        <v>Physical</v>
      </c>
      <c r="BT104" s="14" t="str">
        <f>master!$E$5</f>
        <v>Activity</v>
      </c>
      <c r="BU104" s="14" t="str">
        <f>master!$E$6</f>
        <v>Mental</v>
      </c>
      <c r="BV104" s="25" t="str">
        <f>master!$E$7</f>
        <v>Motivation</v>
      </c>
      <c r="BW104" t="s">
        <v>189</v>
      </c>
      <c r="BX104" s="14" t="str">
        <f>master!$E$3</f>
        <v>General</v>
      </c>
      <c r="BY104" s="14" t="str">
        <f>master!$E$4</f>
        <v>Physical</v>
      </c>
      <c r="BZ104" s="14" t="str">
        <f>master!$E$5</f>
        <v>Activity</v>
      </c>
      <c r="CA104" s="14" t="str">
        <f>master!$E$6</f>
        <v>Mental</v>
      </c>
      <c r="CB104" s="25" t="str">
        <f>master!$E$7</f>
        <v>Motivation</v>
      </c>
      <c r="CC104" t="s">
        <v>189</v>
      </c>
      <c r="CD104" s="14" t="str">
        <f>master!$E$3</f>
        <v>General</v>
      </c>
      <c r="CE104" s="14" t="str">
        <f>master!$E$4</f>
        <v>Physical</v>
      </c>
      <c r="CF104" s="14" t="str">
        <f>master!$E$5</f>
        <v>Activity</v>
      </c>
      <c r="CG104" s="14" t="str">
        <f>master!$E$6</f>
        <v>Mental</v>
      </c>
      <c r="CH104" s="25" t="str">
        <f>master!$E$7</f>
        <v>Motivation</v>
      </c>
      <c r="CI104" t="s">
        <v>189</v>
      </c>
      <c r="CJ104" s="14" t="str">
        <f>master!$E$3</f>
        <v>General</v>
      </c>
      <c r="CK104" s="14" t="str">
        <f>master!$E$4</f>
        <v>Physical</v>
      </c>
      <c r="CL104" s="14" t="str">
        <f>master!$E$5</f>
        <v>Activity</v>
      </c>
      <c r="CM104" s="14" t="str">
        <f>master!$E$6</f>
        <v>Mental</v>
      </c>
      <c r="CN104" s="25" t="str">
        <f>master!$E$7</f>
        <v>Motivation</v>
      </c>
    </row>
    <row r="105" spans="1:92" x14ac:dyDescent="0.2">
      <c r="A105" s="4" t="s">
        <v>167</v>
      </c>
      <c r="B105">
        <v>10</v>
      </c>
      <c r="C105" s="22"/>
      <c r="D105" s="22"/>
      <c r="E105" s="22"/>
      <c r="F105" s="22"/>
      <c r="G105" s="22"/>
      <c r="I105" s="22"/>
      <c r="J105" s="22"/>
      <c r="K105" s="22"/>
      <c r="L105" s="22"/>
      <c r="M105" s="22"/>
      <c r="O105" s="65">
        <v>0.2148794</v>
      </c>
      <c r="P105" s="22">
        <v>0.21955379999999999</v>
      </c>
      <c r="Q105" s="22">
        <v>0.21288689999999999</v>
      </c>
      <c r="R105" s="22">
        <v>0.19219829999999999</v>
      </c>
      <c r="S105" s="22">
        <v>0.18494169999999999</v>
      </c>
      <c r="U105" s="16">
        <f>normalitet!B$4</f>
        <v>4</v>
      </c>
      <c r="V105">
        <v>9.893772900966348E-2</v>
      </c>
      <c r="W105">
        <v>0.13394166441159311</v>
      </c>
      <c r="X105">
        <v>0.1805540284451497</v>
      </c>
      <c r="Y105">
        <v>0.17861335984470761</v>
      </c>
      <c r="Z105">
        <v>0.22340103452028071</v>
      </c>
      <c r="AA105" s="10">
        <f>normalitet!B$4</f>
        <v>4</v>
      </c>
      <c r="AB105">
        <v>5.2481989464220453E-2</v>
      </c>
      <c r="AC105">
        <v>7.108210768233568E-2</v>
      </c>
      <c r="AD105">
        <v>0.10005256681950039</v>
      </c>
      <c r="AE105">
        <v>0.101146930270801</v>
      </c>
      <c r="AF105">
        <v>0.12702884902445791</v>
      </c>
      <c r="AG105" s="16">
        <f>normalitet!B$4</f>
        <v>4</v>
      </c>
      <c r="AH105">
        <v>0.11239122292220349</v>
      </c>
      <c r="AI105">
        <v>0.1474520210913825</v>
      </c>
      <c r="AJ105">
        <v>0.27581039973265981</v>
      </c>
      <c r="AK105">
        <v>0.21072049471463411</v>
      </c>
      <c r="AL105">
        <v>0.2370437891790369</v>
      </c>
      <c r="AM105" s="10">
        <f>normalitet!B$4</f>
        <v>4</v>
      </c>
      <c r="AN105">
        <v>5.9341357275337098E-2</v>
      </c>
      <c r="AO105">
        <v>8.1165696053596331E-2</v>
      </c>
      <c r="AP105">
        <v>0.1567501912086629</v>
      </c>
      <c r="AQ105">
        <v>0.1205058729241994</v>
      </c>
      <c r="AR105">
        <v>0.1545711733179895</v>
      </c>
      <c r="AS105" s="16">
        <f>normalitet!B$4</f>
        <v>4</v>
      </c>
      <c r="AT105">
        <v>0.1228086500305781</v>
      </c>
      <c r="AU105">
        <v>0.14769290636185939</v>
      </c>
      <c r="AV105">
        <v>0.23481394840006689</v>
      </c>
      <c r="AW105">
        <v>0.1728436330814731</v>
      </c>
      <c r="AX105">
        <v>0.26396852138608612</v>
      </c>
      <c r="AY105" s="10">
        <f>normalitet!B$4</f>
        <v>4</v>
      </c>
      <c r="AZ105">
        <v>6.4573796364958094E-2</v>
      </c>
      <c r="BA105">
        <v>7.8629138394487416E-2</v>
      </c>
      <c r="BB105">
        <v>0.1286663550531299</v>
      </c>
      <c r="BC105">
        <v>9.69427815344759E-2</v>
      </c>
      <c r="BD105">
        <v>0.14346277298079069</v>
      </c>
      <c r="BE105" s="16">
        <f>normalitet!B$4</f>
        <v>4</v>
      </c>
      <c r="BF105">
        <v>0.1188959095735805</v>
      </c>
      <c r="BG105">
        <v>0.1172938478888257</v>
      </c>
      <c r="BH105">
        <v>0.17694869397165461</v>
      </c>
      <c r="BI105">
        <v>0.17821505143318411</v>
      </c>
      <c r="BJ105">
        <v>0.24611217805001179</v>
      </c>
      <c r="BK105" s="10">
        <f>normalitet!B$4</f>
        <v>4</v>
      </c>
      <c r="BL105">
        <v>6.2838709217465413E-2</v>
      </c>
      <c r="BM105">
        <v>6.278849959268093E-2</v>
      </c>
      <c r="BN105">
        <v>9.8208351903943197E-2</v>
      </c>
      <c r="BO105">
        <v>0.1024204243365107</v>
      </c>
      <c r="BP105">
        <v>0.14529992233608999</v>
      </c>
      <c r="BQ105" s="16">
        <f>normalitet!B$4</f>
        <v>4</v>
      </c>
      <c r="BR105">
        <v>0.1627502647313345</v>
      </c>
      <c r="BS105">
        <v>0.1325401978657452</v>
      </c>
      <c r="BT105">
        <v>0.1569803484044589</v>
      </c>
      <c r="BU105">
        <v>0.2423318630240589</v>
      </c>
      <c r="BV105">
        <v>0.24442723266044031</v>
      </c>
      <c r="BW105" s="10">
        <f>normalitet!B$4</f>
        <v>4</v>
      </c>
      <c r="BX105">
        <v>8.6321147214186406E-2</v>
      </c>
      <c r="BY105">
        <v>7.0058895610221272E-2</v>
      </c>
      <c r="BZ105">
        <v>8.3834424642063712E-2</v>
      </c>
      <c r="CA105">
        <v>0.14466141572845589</v>
      </c>
      <c r="CB105">
        <v>0.142540115873626</v>
      </c>
      <c r="CC105" s="16">
        <f>normalitet!B$4</f>
        <v>4</v>
      </c>
      <c r="CD105">
        <v>0.12430900962432589</v>
      </c>
      <c r="CE105">
        <v>0.1002172909335757</v>
      </c>
      <c r="CF105">
        <v>0.11433919810476099</v>
      </c>
      <c r="CG105">
        <v>0.2017454211606273</v>
      </c>
      <c r="CH105">
        <v>0.166985128854027</v>
      </c>
      <c r="CI105" s="10">
        <f>normalitet!B$4</f>
        <v>4</v>
      </c>
      <c r="CJ105">
        <v>6.6734524822580576E-2</v>
      </c>
      <c r="CK105">
        <v>5.3281813849498892E-2</v>
      </c>
      <c r="CL105">
        <v>6.1719939670848739E-2</v>
      </c>
      <c r="CM105">
        <v>0.1079194857903768</v>
      </c>
      <c r="CN105">
        <v>9.4202604841115312E-2</v>
      </c>
    </row>
    <row r="106" spans="1:92" x14ac:dyDescent="0.2">
      <c r="A106" s="4" t="s">
        <v>168</v>
      </c>
      <c r="B106">
        <v>11</v>
      </c>
      <c r="C106" s="22"/>
      <c r="D106" s="22"/>
      <c r="E106" s="22"/>
      <c r="F106" s="22"/>
      <c r="G106" s="22"/>
      <c r="I106" s="22"/>
      <c r="J106" s="22"/>
      <c r="K106" s="22"/>
      <c r="L106" s="22"/>
      <c r="M106" s="22"/>
      <c r="O106" s="65">
        <v>0.23912120000000001</v>
      </c>
      <c r="P106" s="22">
        <v>0.2349041</v>
      </c>
      <c r="Q106" s="22">
        <v>0.24595</v>
      </c>
      <c r="R106" s="22">
        <v>0.22345300000000001</v>
      </c>
      <c r="S106" s="22">
        <v>0.19171389999999999</v>
      </c>
      <c r="U106" s="86">
        <f>U105+1</f>
        <v>5</v>
      </c>
      <c r="V106">
        <v>0.19735841078117161</v>
      </c>
      <c r="W106">
        <v>0.26680004762236709</v>
      </c>
      <c r="X106">
        <v>0.35053981461150502</v>
      </c>
      <c r="Y106">
        <v>0.34558675730112942</v>
      </c>
      <c r="Z106">
        <v>0.42561499293710869</v>
      </c>
      <c r="AA106" s="10">
        <f>AA105+0.5</f>
        <v>4.5</v>
      </c>
      <c r="AB106">
        <v>5.1405745107019701E-2</v>
      </c>
      <c r="AC106">
        <v>6.9948927911242298E-2</v>
      </c>
      <c r="AD106">
        <v>9.661081394950996E-2</v>
      </c>
      <c r="AE106">
        <v>9.6050871233145999E-2</v>
      </c>
      <c r="AF106">
        <v>0.1215078163858046</v>
      </c>
      <c r="AG106" s="86">
        <f>AG105+1</f>
        <v>5</v>
      </c>
      <c r="AH106">
        <v>0.22491756010960021</v>
      </c>
      <c r="AI106">
        <v>0.28798117945962909</v>
      </c>
      <c r="AJ106">
        <v>0.49171368230048829</v>
      </c>
      <c r="AK106">
        <v>0.40118670959270603</v>
      </c>
      <c r="AL106">
        <v>0.44459973613870918</v>
      </c>
      <c r="AM106" s="10">
        <f>AM105+0.5</f>
        <v>4.5</v>
      </c>
      <c r="AN106">
        <v>5.8404954974441828E-2</v>
      </c>
      <c r="AO106">
        <v>7.847076783068957E-2</v>
      </c>
      <c r="AP106">
        <v>0.14678882178954741</v>
      </c>
      <c r="AQ106">
        <v>0.1147504088106492</v>
      </c>
      <c r="AR106">
        <v>0.12838192474432511</v>
      </c>
      <c r="AS106" s="86">
        <f>AS105+1</f>
        <v>5</v>
      </c>
      <c r="AT106">
        <v>0.23647384243983491</v>
      </c>
      <c r="AU106">
        <v>0.28251401856332042</v>
      </c>
      <c r="AV106">
        <v>0.43341047971552549</v>
      </c>
      <c r="AW106">
        <v>0.33602428834127379</v>
      </c>
      <c r="AX106">
        <v>0.4569065310894006</v>
      </c>
      <c r="AY106" s="10">
        <f>AY105+0.5</f>
        <v>4.5</v>
      </c>
      <c r="AZ106">
        <v>6.372205142915599E-2</v>
      </c>
      <c r="BA106">
        <v>7.7576382179026807E-2</v>
      </c>
      <c r="BB106">
        <v>0.1233529149281181</v>
      </c>
      <c r="BC106">
        <v>9.2617850888707318E-2</v>
      </c>
      <c r="BD106">
        <v>0.13168543304887631</v>
      </c>
      <c r="BE106" s="86">
        <f>BE105+1</f>
        <v>5</v>
      </c>
      <c r="BF106">
        <v>0.22546553739938069</v>
      </c>
      <c r="BG106">
        <v>0.2264625788404043</v>
      </c>
      <c r="BH106">
        <v>0.33855316799367241</v>
      </c>
      <c r="BI106">
        <v>0.34327432973111421</v>
      </c>
      <c r="BJ106">
        <v>0.43694190963402679</v>
      </c>
      <c r="BK106" s="10">
        <f>BK105+0.5</f>
        <v>4.5</v>
      </c>
      <c r="BL106">
        <v>6.1701952386317351E-2</v>
      </c>
      <c r="BM106">
        <v>6.164587138225544E-2</v>
      </c>
      <c r="BN106">
        <v>9.4880725265865176E-2</v>
      </c>
      <c r="BO106">
        <v>9.6107164563263847E-2</v>
      </c>
      <c r="BP106">
        <v>0.13162459545270169</v>
      </c>
      <c r="BQ106" s="86">
        <f>BQ105+1</f>
        <v>5</v>
      </c>
      <c r="BR106">
        <v>0.30198254940990449</v>
      </c>
      <c r="BS106">
        <v>0.24825117128914431</v>
      </c>
      <c r="BT106">
        <v>0.29385758156543879</v>
      </c>
      <c r="BU106">
        <v>0.45920661053475842</v>
      </c>
      <c r="BV106">
        <v>0.45836216019354609</v>
      </c>
      <c r="BW106" s="10">
        <f>BW105+0.5</f>
        <v>4.5</v>
      </c>
      <c r="BX106">
        <v>8.3662635414307601E-2</v>
      </c>
      <c r="BY106">
        <v>6.8160901520908992E-2</v>
      </c>
      <c r="BZ106">
        <v>8.1842858393977799E-2</v>
      </c>
      <c r="CA106">
        <v>0.13342581756116631</v>
      </c>
      <c r="CB106">
        <v>0.13471725378754321</v>
      </c>
      <c r="CC106" s="86">
        <f>CC105+1</f>
        <v>5</v>
      </c>
      <c r="CD106">
        <v>0.23828734297892021</v>
      </c>
      <c r="CE106">
        <v>0.19220166950691209</v>
      </c>
      <c r="CF106">
        <v>0.22086406393698541</v>
      </c>
      <c r="CG106">
        <v>0.36803602528324852</v>
      </c>
      <c r="CH106">
        <v>0.32367201348876729</v>
      </c>
      <c r="CI106" s="10">
        <f>CI105+0.5</f>
        <v>4.5</v>
      </c>
      <c r="CJ106">
        <v>6.5933809390147563E-2</v>
      </c>
      <c r="CK106">
        <v>5.2581712597259148E-2</v>
      </c>
      <c r="CL106">
        <v>6.1013111641935062E-2</v>
      </c>
      <c r="CM106">
        <v>0.1030681423865086</v>
      </c>
      <c r="CN106">
        <v>8.947074076463421E-2</v>
      </c>
    </row>
    <row r="107" spans="1:92" x14ac:dyDescent="0.2">
      <c r="A107" s="4" t="s">
        <v>174</v>
      </c>
      <c r="C107" s="10"/>
      <c r="D107" s="10"/>
      <c r="E107" s="10"/>
      <c r="F107" s="10"/>
      <c r="G107" s="10"/>
      <c r="H107" s="10"/>
      <c r="I107" s="10"/>
      <c r="J107" s="10"/>
      <c r="K107" s="10"/>
      <c r="L107" s="10"/>
      <c r="M107" s="10"/>
      <c r="O107" s="9" t="e" cm="1">
        <f t="array" ref="O107">_xlfn.IFS($B85=$B95,O95,$B85=$B96,O96,$B85=$B97,O97,$B85=$B98,O98,$B85=$B99,O99,$B85=$B100,O100,$B85=$B101,O101,$B85=$B102,O102,$B85=$B103,O103,$B85=$B104,O104,$B85=$B105,O105,$B85=$B106,O106)</f>
        <v>#N/A</v>
      </c>
      <c r="P107" s="9" t="e" cm="1">
        <f t="array" ref="P107">_xlfn.IFS($B85=$B95,P95,$B85=$B96,P96,$B85=$B97,P97,$B85=$B98,P98,$B85=$B99,P99,$B85=$B100,P100,$B85=$B101,P101,$B85=$B102,P102,$B85=$B103,P103,$B85=$B104,P104,$B85=$B105,P105,$B85=$B106,P106)</f>
        <v>#N/A</v>
      </c>
      <c r="Q107" s="9" t="e" cm="1">
        <f t="array" ref="Q107">_xlfn.IFS($B85=$B95,Q95,$B85=$B96,Q96,$B85=$B97,Q97,$B85=$B98,Q98,$B85=$B99,Q99,$B85=$B100,Q100,$B85=$B101,Q101,$B85=$B102,Q102,$B85=$B103,Q103,$B85=$B104,Q104,$B85=$B105,Q105,$B85=$B106,Q106)</f>
        <v>#N/A</v>
      </c>
      <c r="R107" s="9" t="e" cm="1">
        <f t="array" ref="R107">_xlfn.IFS($B85=$B95,R95,$B85=$B96,R96,$B85=$B97,R97,$B85=$B98,R98,$B85=$B99,R99,$B85=$B100,R100,$B85=$B101,R101,$B85=$B102,R102,$B85=$B103,R103,$B85=$B104,R104,$B85=$B105,R105,$B85=$B106,R106)</f>
        <v>#N/A</v>
      </c>
      <c r="S107" s="9" t="e" cm="1">
        <f t="array" ref="S107">_xlfn.IFS($B85=$B95,S95,$B85=$B96,S96,$B85=$B97,S97,$B85=$B98,S98,$B85=$B99,S99,$B85=$B100,S100,$B85=$B101,S101,$B85=$B102,S102,$B85=$B103,S103,$B85=$B104,S104,$B85=$B105,S105,$B85=$B106,S106)</f>
        <v>#N/A</v>
      </c>
      <c r="U107" s="86">
        <f t="shared" ref="U107:U137" si="18">U106+1</f>
        <v>6</v>
      </c>
      <c r="V107">
        <v>0.29215109642905862</v>
      </c>
      <c r="W107">
        <v>0.38934459104901509</v>
      </c>
      <c r="X107">
        <v>0.48055126891297112</v>
      </c>
      <c r="Y107">
        <v>0.46577854004892488</v>
      </c>
      <c r="Z107">
        <v>0.55587775095347114</v>
      </c>
      <c r="AA107" s="10">
        <f t="shared" ref="AA107:AA137" si="19">AA106+0.5</f>
        <v>5</v>
      </c>
      <c r="AB107">
        <v>5.0007505580568337E-2</v>
      </c>
      <c r="AC107">
        <v>6.8156358116282206E-2</v>
      </c>
      <c r="AD107">
        <v>8.7013202364395817E-2</v>
      </c>
      <c r="AE107">
        <v>8.5925556818738147E-2</v>
      </c>
      <c r="AF107">
        <v>0.1051001557843535</v>
      </c>
      <c r="AG107" s="86">
        <f t="shared" ref="AG107:AG137" si="20">AG106+1</f>
        <v>6</v>
      </c>
      <c r="AH107">
        <v>0.32512482347975408</v>
      </c>
      <c r="AI107">
        <v>0.39577056645559711</v>
      </c>
      <c r="AJ107">
        <v>0.62903173389929612</v>
      </c>
      <c r="AK107">
        <v>0.52045068553174423</v>
      </c>
      <c r="AL107">
        <v>0.58142790310740167</v>
      </c>
      <c r="AM107" s="10">
        <f t="shared" ref="AM107:AM137" si="21">AM106+0.5</f>
        <v>5</v>
      </c>
      <c r="AN107">
        <v>5.7287972303409117E-2</v>
      </c>
      <c r="AO107">
        <v>7.1622747895803821E-2</v>
      </c>
      <c r="AP107">
        <v>0.1189150818886504</v>
      </c>
      <c r="AQ107">
        <v>9.8301416908617573E-2</v>
      </c>
      <c r="AR107">
        <v>0.1037042878801895</v>
      </c>
      <c r="AS107" s="86">
        <f t="shared" ref="AS107:AS137" si="22">AS106+1</f>
        <v>6</v>
      </c>
      <c r="AT107">
        <v>0.3401442278631891</v>
      </c>
      <c r="AU107">
        <v>0.39913194155656923</v>
      </c>
      <c r="AV107">
        <v>0.573752373913617</v>
      </c>
      <c r="AW107">
        <v>0.45957916104997698</v>
      </c>
      <c r="AX107">
        <v>0.59603692929307761</v>
      </c>
      <c r="AY107" s="10">
        <f t="shared" ref="AY107:AY137" si="23">AY106+0.5</f>
        <v>5</v>
      </c>
      <c r="AZ107">
        <v>6.0565761207782232E-2</v>
      </c>
      <c r="BA107">
        <v>7.2251742293414342E-2</v>
      </c>
      <c r="BB107">
        <v>0.1070556448704484</v>
      </c>
      <c r="BC107">
        <v>8.3681763825484937E-2</v>
      </c>
      <c r="BD107">
        <v>0.1080204235428957</v>
      </c>
      <c r="BE107" s="86">
        <f t="shared" ref="BE107:BE137" si="24">BE106+1</f>
        <v>6</v>
      </c>
      <c r="BF107">
        <v>0.31518079618288758</v>
      </c>
      <c r="BG107">
        <v>0.32044085675481188</v>
      </c>
      <c r="BH107">
        <v>0.46037642413812307</v>
      </c>
      <c r="BI107">
        <v>0.45774607837093939</v>
      </c>
      <c r="BJ107">
        <v>0.56292845015309967</v>
      </c>
      <c r="BK107" s="10">
        <f t="shared" ref="BK107:BK137" si="25">BK106+0.5</f>
        <v>5</v>
      </c>
      <c r="BL107">
        <v>5.70042084736243E-2</v>
      </c>
      <c r="BM107">
        <v>5.6881344525806198E-2</v>
      </c>
      <c r="BN107">
        <v>8.5392052848433139E-2</v>
      </c>
      <c r="BO107">
        <v>8.4969124056493581E-2</v>
      </c>
      <c r="BP107">
        <v>9.7552736711601987E-2</v>
      </c>
      <c r="BQ107" s="86">
        <f t="shared" ref="BQ107:BQ137" si="26">BQ106+1</f>
        <v>6</v>
      </c>
      <c r="BR107">
        <v>0.4113712191646382</v>
      </c>
      <c r="BS107">
        <v>0.3433912588479987</v>
      </c>
      <c r="BT107">
        <v>0.40359116984728732</v>
      </c>
      <c r="BU107">
        <v>0.580188221052371</v>
      </c>
      <c r="BV107">
        <v>0.57908017690979474</v>
      </c>
      <c r="BW107" s="10">
        <f t="shared" ref="BW107:BW137" si="27">BW106+0.5</f>
        <v>5</v>
      </c>
      <c r="BX107">
        <v>7.6669501998513648E-2</v>
      </c>
      <c r="BY107">
        <v>6.2728549335824793E-2</v>
      </c>
      <c r="BZ107">
        <v>7.4604001837925413E-2</v>
      </c>
      <c r="CA107">
        <v>0.1130977273709368</v>
      </c>
      <c r="CB107">
        <v>0.11151261277944691</v>
      </c>
      <c r="CC107" s="86">
        <f t="shared" ref="CC107:CC137" si="28">CC106+1</f>
        <v>6</v>
      </c>
      <c r="CD107">
        <v>0.32918198372858642</v>
      </c>
      <c r="CE107">
        <v>0.26930184193006379</v>
      </c>
      <c r="CF107">
        <v>0.30641203187696542</v>
      </c>
      <c r="CG107">
        <v>0.49233561460002873</v>
      </c>
      <c r="CH107">
        <v>0.4445715141626761</v>
      </c>
      <c r="CI107" s="10">
        <f t="shared" ref="CI107:CI137" si="29">CI106+0.5</f>
        <v>5</v>
      </c>
      <c r="CJ107">
        <v>6.0820978829504331E-2</v>
      </c>
      <c r="CK107">
        <v>4.8942597443331307E-2</v>
      </c>
      <c r="CL107">
        <v>5.6516550910773553E-2</v>
      </c>
      <c r="CM107">
        <v>9.2895801987104759E-2</v>
      </c>
      <c r="CN107">
        <v>8.1208662776349097E-2</v>
      </c>
    </row>
    <row r="108" spans="1:92" x14ac:dyDescent="0.2">
      <c r="U108" s="86">
        <f t="shared" si="18"/>
        <v>7</v>
      </c>
      <c r="V108">
        <v>0.39395084943542691</v>
      </c>
      <c r="W108">
        <v>0.50278994173285563</v>
      </c>
      <c r="X108">
        <v>0.59047911879590065</v>
      </c>
      <c r="Y108">
        <v>0.56984634822976177</v>
      </c>
      <c r="Z108">
        <v>0.65170267485711397</v>
      </c>
      <c r="AA108" s="10">
        <f t="shared" si="19"/>
        <v>5.5</v>
      </c>
      <c r="AB108">
        <v>4.8507413534085601E-2</v>
      </c>
      <c r="AC108">
        <v>6.6329153429250512E-2</v>
      </c>
      <c r="AD108">
        <v>7.6367078722968759E-2</v>
      </c>
      <c r="AE108">
        <v>7.3487624815752606E-2</v>
      </c>
      <c r="AF108">
        <v>8.5844338862931843E-2</v>
      </c>
      <c r="AG108" s="86">
        <f t="shared" si="20"/>
        <v>7</v>
      </c>
      <c r="AH108">
        <v>0.41719075193892668</v>
      </c>
      <c r="AI108">
        <v>0.49233975423378779</v>
      </c>
      <c r="AJ108">
        <v>0.71617749362500871</v>
      </c>
      <c r="AK108">
        <v>0.61147531959883838</v>
      </c>
      <c r="AL108">
        <v>0.68995967511532508</v>
      </c>
      <c r="AM108" s="10">
        <f t="shared" si="21"/>
        <v>5.5</v>
      </c>
      <c r="AN108">
        <v>5.5471890134728627E-2</v>
      </c>
      <c r="AO108">
        <v>6.3522263195639833E-2</v>
      </c>
      <c r="AP108">
        <v>8.9188898746552975E-2</v>
      </c>
      <c r="AQ108">
        <v>7.8747335874367858E-2</v>
      </c>
      <c r="AR108">
        <v>8.4188142601042307E-2</v>
      </c>
      <c r="AS108" s="86">
        <f t="shared" si="22"/>
        <v>7</v>
      </c>
      <c r="AT108">
        <v>0.42964680545732031</v>
      </c>
      <c r="AU108">
        <v>0.49081154902561508</v>
      </c>
      <c r="AV108">
        <v>0.67224614978997876</v>
      </c>
      <c r="AW108">
        <v>0.5685746198031687</v>
      </c>
      <c r="AX108">
        <v>0.6983174135782888</v>
      </c>
      <c r="AY108" s="10">
        <f t="shared" si="23"/>
        <v>5.5</v>
      </c>
      <c r="AZ108">
        <v>5.6588541776901549E-2</v>
      </c>
      <c r="BA108">
        <v>6.5914787706065625E-2</v>
      </c>
      <c r="BB108">
        <v>8.7981198322291163E-2</v>
      </c>
      <c r="BC108">
        <v>7.3173594158542812E-2</v>
      </c>
      <c r="BD108">
        <v>8.6733553666318464E-2</v>
      </c>
      <c r="BE108" s="86">
        <f t="shared" si="24"/>
        <v>7</v>
      </c>
      <c r="BF108">
        <v>0.38649778006169833</v>
      </c>
      <c r="BG108">
        <v>0.40721921049897558</v>
      </c>
      <c r="BH108">
        <v>0.55208520598268251</v>
      </c>
      <c r="BI108">
        <v>0.55376933271568474</v>
      </c>
      <c r="BJ108">
        <v>0.67671212411236403</v>
      </c>
      <c r="BK108" s="10">
        <f t="shared" si="25"/>
        <v>5.5</v>
      </c>
      <c r="BL108">
        <v>5.109101935685316E-2</v>
      </c>
      <c r="BM108">
        <v>5.1843651092169131E-2</v>
      </c>
      <c r="BN108">
        <v>7.3692418712267282E-2</v>
      </c>
      <c r="BO108">
        <v>7.0921161914359349E-2</v>
      </c>
      <c r="BP108">
        <v>7.253060619146702E-2</v>
      </c>
      <c r="BQ108" s="86">
        <f t="shared" si="26"/>
        <v>7</v>
      </c>
      <c r="BR108">
        <v>0.48629176665723001</v>
      </c>
      <c r="BS108">
        <v>0.41902356317393252</v>
      </c>
      <c r="BT108">
        <v>0.48602759129009698</v>
      </c>
      <c r="BU108">
        <v>0.66136908324002175</v>
      </c>
      <c r="BV108">
        <v>0.66795808869312812</v>
      </c>
      <c r="BW108" s="10">
        <f t="shared" si="27"/>
        <v>5.5</v>
      </c>
      <c r="BX108">
        <v>6.5918032546928643E-2</v>
      </c>
      <c r="BY108">
        <v>5.5085376228168788E-2</v>
      </c>
      <c r="BZ108">
        <v>6.4993003640130831E-2</v>
      </c>
      <c r="CA108">
        <v>8.6866740629394631E-2</v>
      </c>
      <c r="CB108">
        <v>8.4274101061433446E-2</v>
      </c>
      <c r="CC108" s="86">
        <f t="shared" si="28"/>
        <v>7</v>
      </c>
      <c r="CD108">
        <v>0.3992670508477611</v>
      </c>
      <c r="CE108">
        <v>0.3341737518140826</v>
      </c>
      <c r="CF108">
        <v>0.37386836086636038</v>
      </c>
      <c r="CG108">
        <v>0.57213283340245302</v>
      </c>
      <c r="CH108">
        <v>0.55081229068857429</v>
      </c>
      <c r="CI108" s="10">
        <f t="shared" si="29"/>
        <v>5.5</v>
      </c>
      <c r="CJ108">
        <v>5.4723689151164913E-2</v>
      </c>
      <c r="CK108">
        <v>4.461139476348118E-2</v>
      </c>
      <c r="CL108">
        <v>5.11168541969605E-2</v>
      </c>
      <c r="CM108">
        <v>7.792033020915104E-2</v>
      </c>
      <c r="CN108">
        <v>7.0548236333949271E-2</v>
      </c>
    </row>
    <row r="109" spans="1:92" x14ac:dyDescent="0.2">
      <c r="U109" s="86">
        <f t="shared" si="18"/>
        <v>8</v>
      </c>
      <c r="V109">
        <v>0.49775074730768432</v>
      </c>
      <c r="W109">
        <v>0.60123147952123612</v>
      </c>
      <c r="X109">
        <v>0.68028066284826139</v>
      </c>
      <c r="Y109">
        <v>0.66099742635811354</v>
      </c>
      <c r="Z109">
        <v>0.72566409304776758</v>
      </c>
      <c r="AA109" s="10">
        <f t="shared" si="19"/>
        <v>6</v>
      </c>
      <c r="AB109">
        <v>4.8520958190064883E-2</v>
      </c>
      <c r="AC109">
        <v>6.3955704779250139E-2</v>
      </c>
      <c r="AD109">
        <v>6.77078858855098E-2</v>
      </c>
      <c r="AE109">
        <v>6.2715945925168951E-2</v>
      </c>
      <c r="AF109">
        <v>6.851641450439977E-2</v>
      </c>
      <c r="AG109" s="86">
        <f t="shared" si="20"/>
        <v>8</v>
      </c>
      <c r="AH109">
        <v>0.49920823532469921</v>
      </c>
      <c r="AI109">
        <v>0.58142293255715449</v>
      </c>
      <c r="AJ109">
        <v>0.79084290062924412</v>
      </c>
      <c r="AK109">
        <v>0.69004219915603593</v>
      </c>
      <c r="AL109">
        <v>0.76920148466332949</v>
      </c>
      <c r="AM109" s="10">
        <f t="shared" si="21"/>
        <v>6</v>
      </c>
      <c r="AN109">
        <v>5.2445586900319877E-2</v>
      </c>
      <c r="AO109">
        <v>5.6233897905510997E-2</v>
      </c>
      <c r="AP109">
        <v>6.9808195109611962E-2</v>
      </c>
      <c r="AQ109">
        <v>6.2189187420104451E-2</v>
      </c>
      <c r="AR109">
        <v>7.0921323705974204E-2</v>
      </c>
      <c r="AS109" s="86">
        <f t="shared" si="22"/>
        <v>8</v>
      </c>
      <c r="AT109">
        <v>0.50931600565976065</v>
      </c>
      <c r="AU109">
        <v>0.56747218779591868</v>
      </c>
      <c r="AV109">
        <v>0.74825046488985647</v>
      </c>
      <c r="AW109">
        <v>0.66186972079176487</v>
      </c>
      <c r="AX109">
        <v>0.79127846716167116</v>
      </c>
      <c r="AY109" s="10">
        <f t="shared" si="23"/>
        <v>6</v>
      </c>
      <c r="AZ109">
        <v>5.2499907505068513E-2</v>
      </c>
      <c r="BA109">
        <v>5.9228447060527087E-2</v>
      </c>
      <c r="BB109">
        <v>7.3491486012406612E-2</v>
      </c>
      <c r="BC109">
        <v>6.4410301985716928E-2</v>
      </c>
      <c r="BD109">
        <v>7.0987412184255763E-2</v>
      </c>
      <c r="BE109" s="86">
        <f t="shared" si="24"/>
        <v>8</v>
      </c>
      <c r="BF109">
        <v>0.45192508572185758</v>
      </c>
      <c r="BG109">
        <v>0.49005850051949362</v>
      </c>
      <c r="BH109">
        <v>0.62508675674697534</v>
      </c>
      <c r="BI109">
        <v>0.63736611132895993</v>
      </c>
      <c r="BJ109">
        <v>0.79092265138066575</v>
      </c>
      <c r="BK109" s="10">
        <f t="shared" si="25"/>
        <v>6</v>
      </c>
      <c r="BL109">
        <v>4.4961015051487509E-2</v>
      </c>
      <c r="BM109">
        <v>4.7440561805409079E-2</v>
      </c>
      <c r="BN109">
        <v>6.2607870683630842E-2</v>
      </c>
      <c r="BO109">
        <v>5.9352684179024597E-2</v>
      </c>
      <c r="BP109">
        <v>6.3869205445001007E-2</v>
      </c>
      <c r="BQ109" s="86">
        <f t="shared" si="26"/>
        <v>8</v>
      </c>
      <c r="BR109">
        <v>0.54707852337759799</v>
      </c>
      <c r="BS109">
        <v>0.49004711418022989</v>
      </c>
      <c r="BT109">
        <v>0.55717173895289285</v>
      </c>
      <c r="BU109">
        <v>0.72177030552870303</v>
      </c>
      <c r="BV109">
        <v>0.746656275282087</v>
      </c>
      <c r="BW109" s="10">
        <f t="shared" si="27"/>
        <v>6</v>
      </c>
      <c r="BX109">
        <v>5.524462859160733E-2</v>
      </c>
      <c r="BY109">
        <v>4.7826205745116819E-2</v>
      </c>
      <c r="BZ109">
        <v>5.520377028692839E-2</v>
      </c>
      <c r="CA109">
        <v>6.3439835305575232E-2</v>
      </c>
      <c r="CB109">
        <v>6.2324351004512078E-2</v>
      </c>
      <c r="CC109" s="86">
        <f t="shared" si="28"/>
        <v>8</v>
      </c>
      <c r="CD109">
        <v>0.45660011528344302</v>
      </c>
      <c r="CE109">
        <v>0.3920104659919692</v>
      </c>
      <c r="CF109">
        <v>0.43013308555916308</v>
      </c>
      <c r="CG109">
        <v>0.63733685819939889</v>
      </c>
      <c r="CH109">
        <v>0.64538865586691108</v>
      </c>
      <c r="CI109" s="10">
        <f t="shared" si="29"/>
        <v>6</v>
      </c>
      <c r="CJ109">
        <v>4.7397674791616488E-2</v>
      </c>
      <c r="CK109">
        <v>3.9741989872749572E-2</v>
      </c>
      <c r="CL109">
        <v>4.4691140498631488E-2</v>
      </c>
      <c r="CM109">
        <v>6.3292366813888792E-2</v>
      </c>
      <c r="CN109">
        <v>6.2442451422065642E-2</v>
      </c>
    </row>
    <row r="110" spans="1:92" x14ac:dyDescent="0.2">
      <c r="U110" s="86">
        <f t="shared" si="18"/>
        <v>9</v>
      </c>
      <c r="V110">
        <v>0.59128501815382573</v>
      </c>
      <c r="W110">
        <v>0.68089634998519066</v>
      </c>
      <c r="X110">
        <v>0.74507523419062405</v>
      </c>
      <c r="Y110">
        <v>0.73760101391934851</v>
      </c>
      <c r="Z110">
        <v>0.7892144060371552</v>
      </c>
      <c r="AA110" s="10">
        <f t="shared" si="19"/>
        <v>6.5</v>
      </c>
      <c r="AB110">
        <v>5.0151178194966853E-2</v>
      </c>
      <c r="AC110">
        <v>6.2389660716040241E-2</v>
      </c>
      <c r="AD110">
        <v>6.2308293356929952E-2</v>
      </c>
      <c r="AE110">
        <v>5.6774430369255148E-2</v>
      </c>
      <c r="AF110">
        <v>5.6476858716709502E-2</v>
      </c>
      <c r="AG110" s="86">
        <f t="shared" si="20"/>
        <v>9</v>
      </c>
      <c r="AH110">
        <v>0.57480640700062258</v>
      </c>
      <c r="AI110">
        <v>0.66580627539999959</v>
      </c>
      <c r="AJ110">
        <v>0.84153262043239585</v>
      </c>
      <c r="AK110">
        <v>0.7669996076502883</v>
      </c>
      <c r="AL110">
        <v>0.82706267985081505</v>
      </c>
      <c r="AM110" s="10">
        <f t="shared" si="21"/>
        <v>6.5</v>
      </c>
      <c r="AN110">
        <v>5.0290603477253351E-2</v>
      </c>
      <c r="AO110">
        <v>5.1900279392874227E-2</v>
      </c>
      <c r="AP110">
        <v>5.5110646082089383E-2</v>
      </c>
      <c r="AQ110">
        <v>5.1197058746197878E-2</v>
      </c>
      <c r="AR110">
        <v>6.4507442220733763E-2</v>
      </c>
      <c r="AS110" s="86">
        <f t="shared" si="22"/>
        <v>9</v>
      </c>
      <c r="AT110">
        <v>0.57799230268274326</v>
      </c>
      <c r="AU110">
        <v>0.63310593765429501</v>
      </c>
      <c r="AV110">
        <v>0.80373251457146011</v>
      </c>
      <c r="AW110">
        <v>0.73344140773385214</v>
      </c>
      <c r="AX110">
        <v>0.85693117945976349</v>
      </c>
      <c r="AY110" s="10">
        <f t="shared" si="23"/>
        <v>6.5</v>
      </c>
      <c r="AZ110">
        <v>4.9587780369081819E-2</v>
      </c>
      <c r="BA110">
        <v>5.2474288107619553E-2</v>
      </c>
      <c r="BB110">
        <v>6.0989119005267677E-2</v>
      </c>
      <c r="BC110">
        <v>6.0085390663828842E-2</v>
      </c>
      <c r="BD110">
        <v>6.004692910568149E-2</v>
      </c>
      <c r="BE110" s="86">
        <f t="shared" si="24"/>
        <v>9</v>
      </c>
      <c r="BF110">
        <v>0.51663565093459274</v>
      </c>
      <c r="BG110">
        <v>0.56831164538613499</v>
      </c>
      <c r="BH110">
        <v>0.68921042907008023</v>
      </c>
      <c r="BI110">
        <v>0.70995583313833666</v>
      </c>
      <c r="BJ110">
        <v>0.86589767709800047</v>
      </c>
      <c r="BK110" s="10">
        <f t="shared" si="25"/>
        <v>6.5</v>
      </c>
      <c r="BL110">
        <v>3.9974526772065477E-2</v>
      </c>
      <c r="BM110">
        <v>4.4884298140480089E-2</v>
      </c>
      <c r="BN110">
        <v>5.3021375368104438E-2</v>
      </c>
      <c r="BO110">
        <v>5.2486133223277158E-2</v>
      </c>
      <c r="BP110">
        <v>6.0208062939257151E-2</v>
      </c>
      <c r="BQ110" s="86">
        <f t="shared" si="26"/>
        <v>9</v>
      </c>
      <c r="BR110">
        <v>0.59864674994584421</v>
      </c>
      <c r="BS110">
        <v>0.5589786406068461</v>
      </c>
      <c r="BT110">
        <v>0.62094178698235358</v>
      </c>
      <c r="BU110">
        <v>0.77812842233046431</v>
      </c>
      <c r="BV110">
        <v>0.81243711640501226</v>
      </c>
      <c r="BW110" s="10">
        <f t="shared" si="27"/>
        <v>6.5</v>
      </c>
      <c r="BX110">
        <v>4.6103316947866783E-2</v>
      </c>
      <c r="BY110">
        <v>4.2391780495823358E-2</v>
      </c>
      <c r="BZ110">
        <v>4.785150400455962E-2</v>
      </c>
      <c r="CA110">
        <v>4.7875692962083653E-2</v>
      </c>
      <c r="CB110">
        <v>4.8688862366270277E-2</v>
      </c>
      <c r="CC110" s="86">
        <f t="shared" si="28"/>
        <v>9</v>
      </c>
      <c r="CD110">
        <v>0.5089206326890513</v>
      </c>
      <c r="CE110">
        <v>0.44727110434816059</v>
      </c>
      <c r="CF110">
        <v>0.4828469204258572</v>
      </c>
      <c r="CG110">
        <v>0.6932507133750645</v>
      </c>
      <c r="CH110">
        <v>0.72687949061307988</v>
      </c>
      <c r="CI110" s="10">
        <f t="shared" si="29"/>
        <v>6.5</v>
      </c>
      <c r="CJ110">
        <v>4.1106837297000043E-2</v>
      </c>
      <c r="CK110">
        <v>3.5943155027312372E-2</v>
      </c>
      <c r="CL110">
        <v>3.909371901267545E-2</v>
      </c>
      <c r="CM110">
        <v>5.0501851029890132E-2</v>
      </c>
      <c r="CN110">
        <v>5.7082029303780028E-2</v>
      </c>
    </row>
    <row r="111" spans="1:92" x14ac:dyDescent="0.2">
      <c r="U111" s="86">
        <f t="shared" si="18"/>
        <v>10</v>
      </c>
      <c r="V111">
        <v>0.66725781740160817</v>
      </c>
      <c r="W111">
        <v>0.74522392208511623</v>
      </c>
      <c r="X111">
        <v>0.79970761777291377</v>
      </c>
      <c r="Y111">
        <v>0.79930781221797487</v>
      </c>
      <c r="Z111">
        <v>0.84546354327471251</v>
      </c>
      <c r="AA111" s="10">
        <f t="shared" si="19"/>
        <v>7</v>
      </c>
      <c r="AB111">
        <v>5.2553979981276457E-2</v>
      </c>
      <c r="AC111">
        <v>5.9887679302846247E-2</v>
      </c>
      <c r="AD111">
        <v>5.8573957731610761E-2</v>
      </c>
      <c r="AE111">
        <v>5.3085520590447917E-2</v>
      </c>
      <c r="AF111">
        <v>4.8563878202728582E-2</v>
      </c>
      <c r="AG111" s="86">
        <f t="shared" si="20"/>
        <v>10</v>
      </c>
      <c r="AH111">
        <v>0.64984817822508534</v>
      </c>
      <c r="AI111">
        <v>0.74456123789453454</v>
      </c>
      <c r="AJ111">
        <v>0.87823947737431018</v>
      </c>
      <c r="AK111">
        <v>0.82870836819447291</v>
      </c>
      <c r="AL111">
        <v>0.87034229688874365</v>
      </c>
      <c r="AM111" s="10">
        <f t="shared" si="21"/>
        <v>7</v>
      </c>
      <c r="AN111">
        <v>4.7520005404127597E-2</v>
      </c>
      <c r="AO111">
        <v>4.9204944120924327E-2</v>
      </c>
      <c r="AP111">
        <v>4.6194197750255503E-2</v>
      </c>
      <c r="AQ111">
        <v>4.5332675747545403E-2</v>
      </c>
      <c r="AR111">
        <v>5.6152545806889727E-2</v>
      </c>
      <c r="AS111" s="86">
        <f t="shared" si="22"/>
        <v>10</v>
      </c>
      <c r="AT111">
        <v>0.6391404502571254</v>
      </c>
      <c r="AU111">
        <v>0.69090125239887568</v>
      </c>
      <c r="AV111">
        <v>0.84234076516215306</v>
      </c>
      <c r="AW111">
        <v>0.79008536033068055</v>
      </c>
      <c r="AX111">
        <v>0.89787988404451224</v>
      </c>
      <c r="AY111" s="10">
        <f t="shared" si="23"/>
        <v>7</v>
      </c>
      <c r="AZ111">
        <v>4.6797067102222263E-2</v>
      </c>
      <c r="BA111">
        <v>4.7531392979771797E-2</v>
      </c>
      <c r="BB111">
        <v>5.1914772286382832E-2</v>
      </c>
      <c r="BC111">
        <v>5.7158490677380012E-2</v>
      </c>
      <c r="BD111">
        <v>5.4680158035542492E-2</v>
      </c>
      <c r="BE111" s="86">
        <f t="shared" si="24"/>
        <v>10</v>
      </c>
      <c r="BF111">
        <v>0.58447010979733083</v>
      </c>
      <c r="BG111">
        <v>0.63736113606948075</v>
      </c>
      <c r="BH111">
        <v>0.74799189679427769</v>
      </c>
      <c r="BI111">
        <v>0.77084533944534317</v>
      </c>
      <c r="BJ111">
        <v>0.91052832342165879</v>
      </c>
      <c r="BK111" s="10">
        <f t="shared" si="25"/>
        <v>7</v>
      </c>
      <c r="BL111">
        <v>3.6479198099823272E-2</v>
      </c>
      <c r="BM111">
        <v>4.43180494119143E-2</v>
      </c>
      <c r="BN111">
        <v>4.640197755560245E-2</v>
      </c>
      <c r="BO111">
        <v>4.8399272622411622E-2</v>
      </c>
      <c r="BP111">
        <v>6.0612685926480413E-2</v>
      </c>
      <c r="BQ111" s="86">
        <f t="shared" si="26"/>
        <v>10</v>
      </c>
      <c r="BR111">
        <v>0.6475776452907851</v>
      </c>
      <c r="BS111">
        <v>0.62405981348774509</v>
      </c>
      <c r="BT111">
        <v>0.6776791302648475</v>
      </c>
      <c r="BU111">
        <v>0.8246003726162644</v>
      </c>
      <c r="BV111">
        <v>0.85926563084579022</v>
      </c>
      <c r="BW111" s="10">
        <f t="shared" si="27"/>
        <v>7</v>
      </c>
      <c r="BX111">
        <v>3.8827655285491598E-2</v>
      </c>
      <c r="BY111">
        <v>3.8903629266171413E-2</v>
      </c>
      <c r="BZ111">
        <v>4.2501158703038687E-2</v>
      </c>
      <c r="CA111">
        <v>3.7693751642000423E-2</v>
      </c>
      <c r="CB111">
        <v>4.4043004302660997E-2</v>
      </c>
      <c r="CC111" s="86">
        <f t="shared" si="28"/>
        <v>10</v>
      </c>
      <c r="CD111">
        <v>0.55930147369988736</v>
      </c>
      <c r="CE111">
        <v>0.49946177435831329</v>
      </c>
      <c r="CF111">
        <v>0.53415704115566676</v>
      </c>
      <c r="CG111">
        <v>0.74343541940440971</v>
      </c>
      <c r="CH111">
        <v>0.78967347025413293</v>
      </c>
      <c r="CI111" s="10">
        <f t="shared" si="29"/>
        <v>7</v>
      </c>
      <c r="CJ111">
        <v>3.5395647182780023E-2</v>
      </c>
      <c r="CK111">
        <v>3.2860426317080242E-2</v>
      </c>
      <c r="CL111">
        <v>3.3966037909845287E-2</v>
      </c>
      <c r="CM111">
        <v>4.1534639213683659E-2</v>
      </c>
      <c r="CN111">
        <v>5.3949249408205377E-2</v>
      </c>
    </row>
    <row r="112" spans="1:92" x14ac:dyDescent="0.2">
      <c r="A112" s="20" t="s">
        <v>63</v>
      </c>
      <c r="U112" s="86">
        <f t="shared" si="18"/>
        <v>11</v>
      </c>
      <c r="V112">
        <v>0.72844326079441979</v>
      </c>
      <c r="W112">
        <v>0.79874433970295722</v>
      </c>
      <c r="X112">
        <v>0.84695103405494043</v>
      </c>
      <c r="Y112">
        <v>0.84851213731964292</v>
      </c>
      <c r="Z112">
        <v>0.89290072935930431</v>
      </c>
      <c r="AA112" s="10">
        <f t="shared" si="19"/>
        <v>7.5</v>
      </c>
      <c r="AB112">
        <v>5.4648714477578172E-2</v>
      </c>
      <c r="AC112">
        <v>5.5316657298680849E-2</v>
      </c>
      <c r="AD112">
        <v>5.2687908364132313E-2</v>
      </c>
      <c r="AE112">
        <v>5.0319809599499957E-2</v>
      </c>
      <c r="AF112">
        <v>4.2504495097072957E-2</v>
      </c>
      <c r="AG112" s="86">
        <f t="shared" si="20"/>
        <v>11</v>
      </c>
      <c r="AH112">
        <v>0.72383048456760235</v>
      </c>
      <c r="AI112">
        <v>0.81417746460996288</v>
      </c>
      <c r="AJ112">
        <v>0.91101630069052153</v>
      </c>
      <c r="AK112">
        <v>0.87316331482110088</v>
      </c>
      <c r="AL112">
        <v>0.90224539411043325</v>
      </c>
      <c r="AM112" s="10">
        <f t="shared" si="21"/>
        <v>7.5</v>
      </c>
      <c r="AN112">
        <v>4.4282072710529467E-2</v>
      </c>
      <c r="AO112">
        <v>4.731160773939061E-2</v>
      </c>
      <c r="AP112">
        <v>4.3498208230352692E-2</v>
      </c>
      <c r="AQ112">
        <v>4.2268355403837062E-2</v>
      </c>
      <c r="AR112">
        <v>4.6896294826821373E-2</v>
      </c>
      <c r="AS112" s="86">
        <f t="shared" si="22"/>
        <v>11</v>
      </c>
      <c r="AT112">
        <v>0.69586915829504503</v>
      </c>
      <c r="AU112">
        <v>0.74320202734620144</v>
      </c>
      <c r="AV112">
        <v>0.86916151771898575</v>
      </c>
      <c r="AW112">
        <v>0.83684737498338357</v>
      </c>
      <c r="AX112">
        <v>0.92239096650061569</v>
      </c>
      <c r="AY112" s="10">
        <f t="shared" si="23"/>
        <v>7.5</v>
      </c>
      <c r="AZ112">
        <v>4.428669035502987E-2</v>
      </c>
      <c r="BA112">
        <v>4.3151512956504358E-2</v>
      </c>
      <c r="BB112">
        <v>4.5839060713476529E-2</v>
      </c>
      <c r="BC112">
        <v>5.3030235853402441E-2</v>
      </c>
      <c r="BD112">
        <v>5.1614509075411069E-2</v>
      </c>
      <c r="BE112" s="86">
        <f t="shared" si="24"/>
        <v>11</v>
      </c>
      <c r="BF112">
        <v>0.65247989740312429</v>
      </c>
      <c r="BG112">
        <v>0.69951841088361189</v>
      </c>
      <c r="BH112">
        <v>0.80076006665861499</v>
      </c>
      <c r="BI112">
        <v>0.82200096081137719</v>
      </c>
      <c r="BJ112">
        <v>0.94221282769987513</v>
      </c>
      <c r="BK112" s="10">
        <f t="shared" si="25"/>
        <v>7.5</v>
      </c>
      <c r="BL112">
        <v>3.4036315597445188E-2</v>
      </c>
      <c r="BM112">
        <v>4.4388238786953603E-2</v>
      </c>
      <c r="BN112">
        <v>4.1688327804363857E-2</v>
      </c>
      <c r="BO112">
        <v>4.6322168590629598E-2</v>
      </c>
      <c r="BP112">
        <v>6.4706023130230508E-2</v>
      </c>
      <c r="BQ112" s="86">
        <f t="shared" si="26"/>
        <v>11</v>
      </c>
      <c r="BR112">
        <v>0.69531781499449952</v>
      </c>
      <c r="BS112">
        <v>0.68445869931242298</v>
      </c>
      <c r="BT112">
        <v>0.73018236182153962</v>
      </c>
      <c r="BU112">
        <v>0.86289322968270388</v>
      </c>
      <c r="BV112">
        <v>0.89217665648374667</v>
      </c>
      <c r="BW112" s="10">
        <f t="shared" si="27"/>
        <v>7.5</v>
      </c>
      <c r="BX112">
        <v>3.4004916430898549E-2</v>
      </c>
      <c r="BY112">
        <v>3.7313086878409993E-2</v>
      </c>
      <c r="BZ112">
        <v>3.8990828006972317E-2</v>
      </c>
      <c r="CA112">
        <v>3.4023205437309398E-2</v>
      </c>
      <c r="CB112">
        <v>4.2807687514963937E-2</v>
      </c>
      <c r="CC112" s="86">
        <f t="shared" si="28"/>
        <v>11</v>
      </c>
      <c r="CD112">
        <v>0.60863913403648218</v>
      </c>
      <c r="CE112">
        <v>0.55079028638923733</v>
      </c>
      <c r="CF112">
        <v>0.58403943986751905</v>
      </c>
      <c r="CG112">
        <v>0.7868605734115689</v>
      </c>
      <c r="CH112">
        <v>0.83632763642852948</v>
      </c>
      <c r="CI112" s="10">
        <f t="shared" si="29"/>
        <v>7.5</v>
      </c>
      <c r="CJ112">
        <v>3.1714950595597841E-2</v>
      </c>
      <c r="CK112">
        <v>3.107717113709358E-2</v>
      </c>
      <c r="CL112">
        <v>3.0938559976794681E-2</v>
      </c>
      <c r="CM112">
        <v>3.6488462878142731E-2</v>
      </c>
      <c r="CN112">
        <v>5.2789078421556217E-2</v>
      </c>
    </row>
    <row r="113" spans="1:92" x14ac:dyDescent="0.2">
      <c r="A113" s="4" t="s">
        <v>28</v>
      </c>
      <c r="C113" s="8">
        <v>147</v>
      </c>
      <c r="D113" s="10"/>
      <c r="E113" s="10"/>
      <c r="F113" s="10"/>
      <c r="G113" s="10"/>
      <c r="I113" s="8"/>
      <c r="N113" s="30"/>
      <c r="O113" s="8"/>
      <c r="U113" s="86">
        <f t="shared" si="18"/>
        <v>12</v>
      </c>
      <c r="V113">
        <v>0.77929232303250839</v>
      </c>
      <c r="W113">
        <v>0.84667195858080835</v>
      </c>
      <c r="X113">
        <v>0.88609628947581121</v>
      </c>
      <c r="Y113">
        <v>0.88840140581260441</v>
      </c>
      <c r="Z113">
        <v>0.92844464947650918</v>
      </c>
      <c r="AA113" s="10">
        <f t="shared" si="19"/>
        <v>8</v>
      </c>
      <c r="AB113">
        <v>5.459442383784046E-2</v>
      </c>
      <c r="AC113">
        <v>5.0997553715941363E-2</v>
      </c>
      <c r="AD113">
        <v>4.6567774165697511E-2</v>
      </c>
      <c r="AE113">
        <v>4.8069122166946622E-2</v>
      </c>
      <c r="AF113">
        <v>3.8750597491700033E-2</v>
      </c>
      <c r="AG113" s="86">
        <f t="shared" si="20"/>
        <v>12</v>
      </c>
      <c r="AH113">
        <v>0.79487212277185049</v>
      </c>
      <c r="AI113">
        <v>0.86999826261405711</v>
      </c>
      <c r="AJ113">
        <v>0.93373725456153167</v>
      </c>
      <c r="AK113">
        <v>0.90178951441059674</v>
      </c>
      <c r="AL113">
        <v>0.92079216681661569</v>
      </c>
      <c r="AM113" s="10">
        <f t="shared" si="21"/>
        <v>8</v>
      </c>
      <c r="AN113">
        <v>4.1891763987240073E-2</v>
      </c>
      <c r="AO113">
        <v>4.6330101011922503E-2</v>
      </c>
      <c r="AP113">
        <v>3.9803995147119992E-2</v>
      </c>
      <c r="AQ113">
        <v>4.1577389259800007E-2</v>
      </c>
      <c r="AR113">
        <v>3.9754804690706379E-2</v>
      </c>
      <c r="AS113" s="86">
        <f t="shared" si="22"/>
        <v>12</v>
      </c>
      <c r="AT113">
        <v>0.75090081282034693</v>
      </c>
      <c r="AU113">
        <v>0.79225899494186447</v>
      </c>
      <c r="AV113">
        <v>0.89072754768128815</v>
      </c>
      <c r="AW113">
        <v>0.87894904953731678</v>
      </c>
      <c r="AX113">
        <v>0.94353180844534479</v>
      </c>
      <c r="AY113" s="10">
        <f t="shared" si="23"/>
        <v>8</v>
      </c>
      <c r="AZ113">
        <v>4.1680264824357167E-2</v>
      </c>
      <c r="BA113">
        <v>3.9751197052508479E-2</v>
      </c>
      <c r="BB113">
        <v>4.0684886913094923E-2</v>
      </c>
      <c r="BC113">
        <v>4.8873303398399008E-2</v>
      </c>
      <c r="BD113">
        <v>4.9963860252762622E-2</v>
      </c>
      <c r="BE113" s="86">
        <f t="shared" si="24"/>
        <v>12</v>
      </c>
      <c r="BF113">
        <v>0.71800008646114322</v>
      </c>
      <c r="BG113">
        <v>0.75703285155910927</v>
      </c>
      <c r="BH113">
        <v>0.84665643852503969</v>
      </c>
      <c r="BI113">
        <v>0.86599719656680518</v>
      </c>
      <c r="BJ113">
        <v>0.96299324892227656</v>
      </c>
      <c r="BK113" s="10">
        <f t="shared" si="25"/>
        <v>8</v>
      </c>
      <c r="BL113">
        <v>3.321469111197909E-2</v>
      </c>
      <c r="BM113">
        <v>4.3757195745686907E-2</v>
      </c>
      <c r="BN113">
        <v>3.7906747222701112E-2</v>
      </c>
      <c r="BO113">
        <v>4.3992189952940589E-2</v>
      </c>
      <c r="BP113">
        <v>6.1937685885232623E-2</v>
      </c>
      <c r="BQ113" s="86">
        <f t="shared" si="26"/>
        <v>12</v>
      </c>
      <c r="BR113">
        <v>0.74301966005590481</v>
      </c>
      <c r="BS113">
        <v>0.73950628999691959</v>
      </c>
      <c r="BT113">
        <v>0.78082417306647145</v>
      </c>
      <c r="BU113">
        <v>0.89605245808855094</v>
      </c>
      <c r="BV113">
        <v>0.92043703506041341</v>
      </c>
      <c r="BW113" s="10">
        <f t="shared" si="27"/>
        <v>8</v>
      </c>
      <c r="BX113">
        <v>3.077990167307125E-2</v>
      </c>
      <c r="BY113">
        <v>3.686055862377189E-2</v>
      </c>
      <c r="BZ113">
        <v>3.7119762960121552E-2</v>
      </c>
      <c r="CA113">
        <v>3.2239169642479269E-2</v>
      </c>
      <c r="CB113">
        <v>4.267118861265938E-2</v>
      </c>
      <c r="CC113" s="86">
        <f t="shared" si="28"/>
        <v>12</v>
      </c>
      <c r="CD113">
        <v>0.6565339457358329</v>
      </c>
      <c r="CE113">
        <v>0.60173178738944566</v>
      </c>
      <c r="CF113">
        <v>0.63164955116996369</v>
      </c>
      <c r="CG113">
        <v>0.82276219516582927</v>
      </c>
      <c r="CH113">
        <v>0.87036648824009966</v>
      </c>
      <c r="CI113" s="10">
        <f t="shared" si="29"/>
        <v>8</v>
      </c>
      <c r="CJ113">
        <v>2.9183817183352209E-2</v>
      </c>
      <c r="CK113">
        <v>3.0047057109471611E-2</v>
      </c>
      <c r="CL113">
        <v>2.875419845056329E-2</v>
      </c>
      <c r="CM113">
        <v>3.3263838357068372E-2</v>
      </c>
      <c r="CN113">
        <v>5.0232015111668089E-2</v>
      </c>
    </row>
    <row r="114" spans="1:92" x14ac:dyDescent="0.2">
      <c r="A114" t="s">
        <v>27</v>
      </c>
      <c r="U114" s="86">
        <f t="shared" si="18"/>
        <v>13</v>
      </c>
      <c r="V114">
        <v>0.82289429226045041</v>
      </c>
      <c r="W114">
        <v>0.88707006319282389</v>
      </c>
      <c r="X114">
        <v>0.9147205227437547</v>
      </c>
      <c r="Y114">
        <v>0.91675467687141976</v>
      </c>
      <c r="Z114">
        <v>0.94958337719891239</v>
      </c>
      <c r="AA114" s="10">
        <f t="shared" si="19"/>
        <v>8.5</v>
      </c>
      <c r="AB114">
        <v>5.285939248730763E-2</v>
      </c>
      <c r="AC114">
        <v>4.6189735349774809E-2</v>
      </c>
      <c r="AD114">
        <v>3.9411629602413907E-2</v>
      </c>
      <c r="AE114">
        <v>4.4820794229321108E-2</v>
      </c>
      <c r="AF114">
        <v>3.5562268028031009E-2</v>
      </c>
      <c r="AG114" s="86">
        <f t="shared" si="20"/>
        <v>13</v>
      </c>
      <c r="AH114">
        <v>0.85515975612916362</v>
      </c>
      <c r="AI114">
        <v>0.90737780019434044</v>
      </c>
      <c r="AJ114">
        <v>0.94720061302629532</v>
      </c>
      <c r="AK114">
        <v>0.92535381037526443</v>
      </c>
      <c r="AL114">
        <v>0.94015269447736649</v>
      </c>
      <c r="AM114" s="10">
        <f t="shared" si="21"/>
        <v>8.5</v>
      </c>
      <c r="AN114">
        <v>3.9851603663043488E-2</v>
      </c>
      <c r="AO114">
        <v>4.5251940986847143E-2</v>
      </c>
      <c r="AP114">
        <v>3.3394410842393751E-2</v>
      </c>
      <c r="AQ114">
        <v>4.1598578794510267E-2</v>
      </c>
      <c r="AR114">
        <v>3.3804909987715348E-2</v>
      </c>
      <c r="AS114" s="86">
        <f t="shared" si="22"/>
        <v>13</v>
      </c>
      <c r="AT114">
        <v>0.79747462649375256</v>
      </c>
      <c r="AU114">
        <v>0.8363257394753717</v>
      </c>
      <c r="AV114">
        <v>0.90833544161459101</v>
      </c>
      <c r="AW114">
        <v>0.91267023356798227</v>
      </c>
      <c r="AX114">
        <v>0.95790160969785154</v>
      </c>
      <c r="AY114" s="10">
        <f t="shared" si="23"/>
        <v>8.5</v>
      </c>
      <c r="AZ114">
        <v>3.8544129367880813E-2</v>
      </c>
      <c r="BA114">
        <v>3.6744523124027782E-2</v>
      </c>
      <c r="BB114">
        <v>3.5360648390454587E-2</v>
      </c>
      <c r="BC114">
        <v>4.3528313645433109E-2</v>
      </c>
      <c r="BD114">
        <v>4.4273773564606878E-2</v>
      </c>
      <c r="BE114" s="86">
        <f t="shared" si="24"/>
        <v>13</v>
      </c>
      <c r="BF114">
        <v>0.77558663334959432</v>
      </c>
      <c r="BG114">
        <v>0.80742061758312167</v>
      </c>
      <c r="BH114">
        <v>0.88064701014511515</v>
      </c>
      <c r="BI114">
        <v>0.89942531536311265</v>
      </c>
      <c r="BJ114">
        <v>0.9716641211590703</v>
      </c>
      <c r="BK114" s="10">
        <f t="shared" si="25"/>
        <v>8.5</v>
      </c>
      <c r="BL114">
        <v>3.2993247140263332E-2</v>
      </c>
      <c r="BM114">
        <v>4.2399965872889432E-2</v>
      </c>
      <c r="BN114">
        <v>3.5529070628077787E-2</v>
      </c>
      <c r="BO114">
        <v>4.1462572953908032E-2</v>
      </c>
      <c r="BP114">
        <v>5.1308146539112628E-2</v>
      </c>
      <c r="BQ114" s="86">
        <f t="shared" si="26"/>
        <v>13</v>
      </c>
      <c r="BR114">
        <v>0.78872442332269055</v>
      </c>
      <c r="BS114">
        <v>0.78658205548474791</v>
      </c>
      <c r="BT114">
        <v>0.82598413605950127</v>
      </c>
      <c r="BU114">
        <v>0.92341753776088664</v>
      </c>
      <c r="BV114">
        <v>0.94302698968825049</v>
      </c>
      <c r="BW114" s="10">
        <f t="shared" si="27"/>
        <v>8.5</v>
      </c>
      <c r="BX114">
        <v>2.8248703482146531E-2</v>
      </c>
      <c r="BY114">
        <v>3.6161098721642457E-2</v>
      </c>
      <c r="BZ114">
        <v>3.4970970759124698E-2</v>
      </c>
      <c r="CA114">
        <v>3.1491247920227207E-2</v>
      </c>
      <c r="CB114">
        <v>4.1060104001031723E-2</v>
      </c>
      <c r="CC114" s="86">
        <f t="shared" si="28"/>
        <v>13</v>
      </c>
      <c r="CD114">
        <v>0.7013391814250387</v>
      </c>
      <c r="CE114">
        <v>0.65042844107977416</v>
      </c>
      <c r="CF114">
        <v>0.67431729031351972</v>
      </c>
      <c r="CG114">
        <v>0.85018354340328006</v>
      </c>
      <c r="CH114">
        <v>0.89740276971590704</v>
      </c>
      <c r="CI114" s="10">
        <f t="shared" si="29"/>
        <v>8.5</v>
      </c>
      <c r="CJ114">
        <v>2.7645023663829999E-2</v>
      </c>
      <c r="CK114">
        <v>2.9188902504301499E-2</v>
      </c>
      <c r="CL114">
        <v>2.7680485862228561E-2</v>
      </c>
      <c r="CM114">
        <v>3.1362244841416781E-2</v>
      </c>
      <c r="CN114">
        <v>4.7267429607148997E-2</v>
      </c>
    </row>
    <row r="115" spans="1:92" x14ac:dyDescent="0.2">
      <c r="A115" t="s">
        <v>29</v>
      </c>
      <c r="C115" t="e">
        <f>(C16-C17)/C18</f>
        <v>#VALUE!</v>
      </c>
      <c r="U115" s="86">
        <f t="shared" si="18"/>
        <v>14</v>
      </c>
      <c r="V115">
        <v>0.86082044326272877</v>
      </c>
      <c r="W115">
        <v>0.91934389278340811</v>
      </c>
      <c r="X115">
        <v>0.9359593869199796</v>
      </c>
      <c r="Y115">
        <v>0.93700849658736685</v>
      </c>
      <c r="Z115">
        <v>0.96155028260987896</v>
      </c>
      <c r="AA115" s="10">
        <f t="shared" si="19"/>
        <v>9</v>
      </c>
      <c r="AB115">
        <v>4.8470264081118271E-2</v>
      </c>
      <c r="AC115">
        <v>4.1251695887102459E-2</v>
      </c>
      <c r="AD115">
        <v>3.3579582041059902E-2</v>
      </c>
      <c r="AE115">
        <v>4.0192129695592139E-2</v>
      </c>
      <c r="AF115">
        <v>3.3327333689883817E-2</v>
      </c>
      <c r="AG115" s="86">
        <f t="shared" si="20"/>
        <v>14</v>
      </c>
      <c r="AH115">
        <v>0.90125659402945768</v>
      </c>
      <c r="AI115">
        <v>0.93212782440978481</v>
      </c>
      <c r="AJ115">
        <v>0.95569199427823848</v>
      </c>
      <c r="AK115">
        <v>0.94552332797052185</v>
      </c>
      <c r="AL115">
        <v>0.9595100552321767</v>
      </c>
      <c r="AM115" s="10">
        <f t="shared" si="21"/>
        <v>9</v>
      </c>
      <c r="AN115">
        <v>3.8767271141233108E-2</v>
      </c>
      <c r="AO115">
        <v>4.3862237698921183E-2</v>
      </c>
      <c r="AP115">
        <v>2.572500967156342E-2</v>
      </c>
      <c r="AQ115">
        <v>4.0681084299462683E-2</v>
      </c>
      <c r="AR115">
        <v>2.8042359771701209E-2</v>
      </c>
      <c r="AS115" s="86">
        <f t="shared" si="22"/>
        <v>14</v>
      </c>
      <c r="AT115">
        <v>0.83508937945516848</v>
      </c>
      <c r="AU115">
        <v>0.87387694469224286</v>
      </c>
      <c r="AV115">
        <v>0.924053385176549</v>
      </c>
      <c r="AW115">
        <v>0.93789442311415749</v>
      </c>
      <c r="AX115">
        <v>0.96687951992673771</v>
      </c>
      <c r="AY115" s="10">
        <f t="shared" si="23"/>
        <v>9</v>
      </c>
      <c r="AZ115">
        <v>3.5658759997325283E-2</v>
      </c>
      <c r="BA115">
        <v>3.421899205838512E-2</v>
      </c>
      <c r="BB115">
        <v>2.9779109896719232E-2</v>
      </c>
      <c r="BC115">
        <v>3.7420062909691909E-2</v>
      </c>
      <c r="BD115">
        <v>3.6417430435601333E-2</v>
      </c>
      <c r="BE115" s="86">
        <f t="shared" si="24"/>
        <v>14</v>
      </c>
      <c r="BF115">
        <v>0.82450001964541697</v>
      </c>
      <c r="BG115">
        <v>0.85046756456386297</v>
      </c>
      <c r="BH115">
        <v>0.90600096024613386</v>
      </c>
      <c r="BI115">
        <v>0.92371917431064343</v>
      </c>
      <c r="BJ115">
        <v>0.97573269599286505</v>
      </c>
      <c r="BK115" s="10">
        <f t="shared" si="25"/>
        <v>9</v>
      </c>
      <c r="BL115">
        <v>3.3547279294238223E-2</v>
      </c>
      <c r="BM115">
        <v>4.0456822469372967E-2</v>
      </c>
      <c r="BN115">
        <v>3.3522538291093848E-2</v>
      </c>
      <c r="BO115">
        <v>3.7987628347235819E-2</v>
      </c>
      <c r="BP115">
        <v>3.7544831141368321E-2</v>
      </c>
      <c r="BQ115" s="86">
        <f t="shared" si="26"/>
        <v>14</v>
      </c>
      <c r="BR115">
        <v>0.8321017213352766</v>
      </c>
      <c r="BS115">
        <v>0.82624715149917083</v>
      </c>
      <c r="BT115">
        <v>0.86365150453715922</v>
      </c>
      <c r="BU115">
        <v>0.94480733052360089</v>
      </c>
      <c r="BV115">
        <v>0.96009598150947251</v>
      </c>
      <c r="BW115" s="10">
        <f t="shared" si="27"/>
        <v>9</v>
      </c>
      <c r="BX115">
        <v>2.693336681601019E-2</v>
      </c>
      <c r="BY115">
        <v>3.5966047790764059E-2</v>
      </c>
      <c r="BZ115">
        <v>3.3376351366163792E-2</v>
      </c>
      <c r="CA115">
        <v>2.985167617045361E-2</v>
      </c>
      <c r="CB115">
        <v>3.5650800002314152E-2</v>
      </c>
      <c r="CC115" s="86">
        <f t="shared" si="28"/>
        <v>14</v>
      </c>
      <c r="CD115">
        <v>0.74269480098295537</v>
      </c>
      <c r="CE115">
        <v>0.69642161284820359</v>
      </c>
      <c r="CF115">
        <v>0.71250272702239503</v>
      </c>
      <c r="CG115">
        <v>0.87191379492802934</v>
      </c>
      <c r="CH115">
        <v>0.91953406795558434</v>
      </c>
      <c r="CI115" s="10">
        <f t="shared" si="29"/>
        <v>9</v>
      </c>
      <c r="CJ115">
        <v>2.7046862447658741E-2</v>
      </c>
      <c r="CK115">
        <v>2.8588377816000109E-2</v>
      </c>
      <c r="CL115">
        <v>2.7269777972610071E-2</v>
      </c>
      <c r="CM115">
        <v>2.964799091230122E-2</v>
      </c>
      <c r="CN115">
        <v>4.2685145493872527E-2</v>
      </c>
    </row>
    <row r="116" spans="1:92" x14ac:dyDescent="0.2">
      <c r="A116" t="s">
        <v>30</v>
      </c>
      <c r="C116" t="e">
        <f>C115*SQRT(C113)</f>
        <v>#VALUE!</v>
      </c>
      <c r="U116" s="86">
        <f t="shared" si="18"/>
        <v>15</v>
      </c>
      <c r="V116">
        <v>0.89422427034892737</v>
      </c>
      <c r="W116">
        <v>0.9432376960711677</v>
      </c>
      <c r="X116">
        <v>0.95262403247774519</v>
      </c>
      <c r="Y116">
        <v>0.95211709887075358</v>
      </c>
      <c r="Z116">
        <v>0.96905113901696094</v>
      </c>
      <c r="AA116" s="10">
        <f t="shared" si="19"/>
        <v>9.5</v>
      </c>
      <c r="AB116">
        <v>4.3306039948847248E-2</v>
      </c>
      <c r="AC116">
        <v>3.6674466212655868E-2</v>
      </c>
      <c r="AD116">
        <v>2.9759121258626141E-2</v>
      </c>
      <c r="AE116">
        <v>3.5629275921648107E-2</v>
      </c>
      <c r="AF116">
        <v>3.1484698930039343E-2</v>
      </c>
      <c r="AG116" s="86">
        <f t="shared" si="20"/>
        <v>15</v>
      </c>
      <c r="AH116">
        <v>0.93164188150236826</v>
      </c>
      <c r="AI116">
        <v>0.9492259427259121</v>
      </c>
      <c r="AJ116">
        <v>0.96335259626541681</v>
      </c>
      <c r="AK116">
        <v>0.96282857713556502</v>
      </c>
      <c r="AL116">
        <v>0.97444527088775135</v>
      </c>
      <c r="AM116" s="10">
        <f t="shared" si="21"/>
        <v>9.5</v>
      </c>
      <c r="AN116">
        <v>3.8444491880991798E-2</v>
      </c>
      <c r="AO116">
        <v>4.2467133409701603E-2</v>
      </c>
      <c r="AP116">
        <v>1.98678017124321E-2</v>
      </c>
      <c r="AQ116">
        <v>3.7878238647053392E-2</v>
      </c>
      <c r="AR116">
        <v>2.5120485358649081E-2</v>
      </c>
      <c r="AS116" s="86">
        <f t="shared" si="22"/>
        <v>15</v>
      </c>
      <c r="AT116">
        <v>0.86317272555912272</v>
      </c>
      <c r="AU116">
        <v>0.90332415807244559</v>
      </c>
      <c r="AV116">
        <v>0.93846316497365778</v>
      </c>
      <c r="AW116">
        <v>0.95484803051357703</v>
      </c>
      <c r="AX116">
        <v>0.97313364269493741</v>
      </c>
      <c r="AY116" s="10">
        <f t="shared" si="23"/>
        <v>9.5</v>
      </c>
      <c r="AZ116">
        <v>3.3085994887056061E-2</v>
      </c>
      <c r="BA116">
        <v>3.1933152016674342E-2</v>
      </c>
      <c r="BB116">
        <v>2.4467484717869501E-2</v>
      </c>
      <c r="BC116">
        <v>3.2254335963843757E-2</v>
      </c>
      <c r="BD116">
        <v>2.7708697378858269E-2</v>
      </c>
      <c r="BE116" s="86">
        <f t="shared" si="24"/>
        <v>15</v>
      </c>
      <c r="BF116">
        <v>0.86392201737001617</v>
      </c>
      <c r="BG116">
        <v>0.88595364023310741</v>
      </c>
      <c r="BH116">
        <v>0.92590558148793944</v>
      </c>
      <c r="BI116">
        <v>0.94063483023596195</v>
      </c>
      <c r="BJ116">
        <v>0.98032159103114103</v>
      </c>
      <c r="BK116" s="10">
        <f t="shared" si="25"/>
        <v>9.5</v>
      </c>
      <c r="BL116">
        <v>3.4489932922753812E-2</v>
      </c>
      <c r="BM116">
        <v>3.7789204672118042E-2</v>
      </c>
      <c r="BN116">
        <v>3.1995303985378948E-2</v>
      </c>
      <c r="BO116">
        <v>3.4523377058199037E-2</v>
      </c>
      <c r="BP116">
        <v>2.716590234537529E-2</v>
      </c>
      <c r="BQ116" s="86">
        <f t="shared" si="26"/>
        <v>15</v>
      </c>
      <c r="BR116">
        <v>0.87273682470926917</v>
      </c>
      <c r="BS116">
        <v>0.85919939360024866</v>
      </c>
      <c r="BT116">
        <v>0.89145460031703216</v>
      </c>
      <c r="BU116">
        <v>0.96033608274294813</v>
      </c>
      <c r="BV116">
        <v>0.97185468157478172</v>
      </c>
      <c r="BW116" s="10">
        <f t="shared" si="27"/>
        <v>9.5</v>
      </c>
      <c r="BX116">
        <v>2.596219919922918E-2</v>
      </c>
      <c r="BY116">
        <v>3.5144576159702401E-2</v>
      </c>
      <c r="BZ116">
        <v>3.134251142247825E-2</v>
      </c>
      <c r="CA116">
        <v>2.7241316649910408E-2</v>
      </c>
      <c r="CB116">
        <v>2.9564318321691371E-2</v>
      </c>
      <c r="CC116" s="86">
        <f t="shared" si="28"/>
        <v>15</v>
      </c>
      <c r="CD116">
        <v>0.78060931401744593</v>
      </c>
      <c r="CE116">
        <v>0.73951643375704856</v>
      </c>
      <c r="CF116">
        <v>0.74809511915837568</v>
      </c>
      <c r="CG116">
        <v>0.89171479551135857</v>
      </c>
      <c r="CH116">
        <v>0.93825744733704719</v>
      </c>
      <c r="CI116" s="10">
        <f t="shared" si="29"/>
        <v>9.5</v>
      </c>
      <c r="CJ116">
        <v>2.6410321399169111E-2</v>
      </c>
      <c r="CK116">
        <v>2.7710833660172091E-2</v>
      </c>
      <c r="CL116">
        <v>2.6844685109324969E-2</v>
      </c>
      <c r="CM116">
        <v>2.8281512423318441E-2</v>
      </c>
      <c r="CN116">
        <v>3.7477549742050621E-2</v>
      </c>
    </row>
    <row r="117" spans="1:92" x14ac:dyDescent="0.2">
      <c r="A117" t="s">
        <v>31</v>
      </c>
      <c r="C117" t="e">
        <f>SKEW(C116,C113-1)</f>
        <v>#VALUE!</v>
      </c>
      <c r="U117" s="86">
        <f t="shared" si="18"/>
        <v>16</v>
      </c>
      <c r="V117">
        <v>0.92203930837780457</v>
      </c>
      <c r="W117">
        <v>0.96011257028039731</v>
      </c>
      <c r="X117">
        <v>0.96759451557427312</v>
      </c>
      <c r="Y117">
        <v>0.96416850599421755</v>
      </c>
      <c r="Z117">
        <v>0.97694604446786881</v>
      </c>
      <c r="AA117" s="10">
        <f t="shared" si="19"/>
        <v>10</v>
      </c>
      <c r="AB117">
        <v>3.8376500656117168E-2</v>
      </c>
      <c r="AC117">
        <v>3.2599114199944407E-2</v>
      </c>
      <c r="AD117">
        <v>2.7479762240928188E-2</v>
      </c>
      <c r="AE117">
        <v>3.1476960605716538E-2</v>
      </c>
      <c r="AF117">
        <v>2.9795136382802699E-2</v>
      </c>
      <c r="AG117" s="86">
        <f t="shared" si="20"/>
        <v>16</v>
      </c>
      <c r="AH117">
        <v>0.95321864375291809</v>
      </c>
      <c r="AI117">
        <v>0.96280761699311268</v>
      </c>
      <c r="AJ117">
        <v>0.97323649078983299</v>
      </c>
      <c r="AK117">
        <v>0.9744107002729141</v>
      </c>
      <c r="AL117">
        <v>0.98362062943157536</v>
      </c>
      <c r="AM117" s="10">
        <f t="shared" si="21"/>
        <v>10</v>
      </c>
      <c r="AN117">
        <v>3.8485625461281779E-2</v>
      </c>
      <c r="AO117">
        <v>4.1013712741779118E-2</v>
      </c>
      <c r="AP117">
        <v>1.8415662169519599E-2</v>
      </c>
      <c r="AQ117">
        <v>3.3583438370365197E-2</v>
      </c>
      <c r="AR117">
        <v>2.1438075805391092E-2</v>
      </c>
      <c r="AS117" s="86">
        <f t="shared" si="22"/>
        <v>16</v>
      </c>
      <c r="AT117">
        <v>0.88665043295354429</v>
      </c>
      <c r="AU117">
        <v>0.92541501032789286</v>
      </c>
      <c r="AV117">
        <v>0.9501916278837762</v>
      </c>
      <c r="AW117">
        <v>0.96545552865020678</v>
      </c>
      <c r="AX117">
        <v>0.97982604276358432</v>
      </c>
      <c r="AY117" s="10">
        <f t="shared" si="23"/>
        <v>10</v>
      </c>
      <c r="AZ117">
        <v>3.1249132503001369E-2</v>
      </c>
      <c r="BA117">
        <v>2.9903948034019651E-2</v>
      </c>
      <c r="BB117">
        <v>1.972313780681411E-2</v>
      </c>
      <c r="BC117">
        <v>2.814984803934039E-2</v>
      </c>
      <c r="BD117">
        <v>2.0187975836733051E-2</v>
      </c>
      <c r="BE117" s="86">
        <f t="shared" si="24"/>
        <v>16</v>
      </c>
      <c r="BF117">
        <v>0.89722446644804554</v>
      </c>
      <c r="BG117">
        <v>0.91499023178830341</v>
      </c>
      <c r="BH117">
        <v>0.94421043095535195</v>
      </c>
      <c r="BI117">
        <v>0.95500408790131674</v>
      </c>
      <c r="BJ117">
        <v>0.98706604617161009</v>
      </c>
      <c r="BK117" s="10">
        <f t="shared" si="25"/>
        <v>10</v>
      </c>
      <c r="BL117">
        <v>3.5279157091072717E-2</v>
      </c>
      <c r="BM117">
        <v>3.5421358899175803E-2</v>
      </c>
      <c r="BN117">
        <v>3.061827620388877E-2</v>
      </c>
      <c r="BO117">
        <v>3.1319198701945952E-2</v>
      </c>
      <c r="BP117">
        <v>2.3176973880006051E-2</v>
      </c>
      <c r="BQ117" s="86">
        <f t="shared" si="26"/>
        <v>16</v>
      </c>
      <c r="BR117">
        <v>0.9077643240203489</v>
      </c>
      <c r="BS117">
        <v>0.88721508179551889</v>
      </c>
      <c r="BT117">
        <v>0.91187906829271914</v>
      </c>
      <c r="BU117">
        <v>0.97207910401230602</v>
      </c>
      <c r="BV117">
        <v>0.97878146663066101</v>
      </c>
      <c r="BW117" s="10">
        <f t="shared" si="27"/>
        <v>10</v>
      </c>
      <c r="BX117">
        <v>2.5367218666584101E-2</v>
      </c>
      <c r="BY117">
        <v>3.4081949631325111E-2</v>
      </c>
      <c r="BZ117">
        <v>2.9547722676760282E-2</v>
      </c>
      <c r="CA117">
        <v>2.4412514550088311E-2</v>
      </c>
      <c r="CB117">
        <v>2.357373434484631E-2</v>
      </c>
      <c r="CC117" s="86">
        <f t="shared" si="28"/>
        <v>16</v>
      </c>
      <c r="CD117">
        <v>0.81618159184584949</v>
      </c>
      <c r="CE117">
        <v>0.78164067812588456</v>
      </c>
      <c r="CF117">
        <v>0.78420870388927388</v>
      </c>
      <c r="CG117">
        <v>0.91191276596725768</v>
      </c>
      <c r="CH117">
        <v>0.94993520060907277</v>
      </c>
      <c r="CI117" s="10">
        <f t="shared" si="29"/>
        <v>10</v>
      </c>
      <c r="CJ117">
        <v>2.6312706868172261E-2</v>
      </c>
      <c r="CK117">
        <v>2.7191519266638538E-2</v>
      </c>
      <c r="CL117">
        <v>2.684309113230595E-2</v>
      </c>
      <c r="CM117">
        <v>2.669798739349705E-2</v>
      </c>
      <c r="CN117">
        <v>3.2405625903152872E-2</v>
      </c>
    </row>
    <row r="118" spans="1:92" x14ac:dyDescent="0.2">
      <c r="U118" s="86">
        <f t="shared" si="18"/>
        <v>17</v>
      </c>
      <c r="V118">
        <v>0.94580719008470415</v>
      </c>
      <c r="W118">
        <v>0.97248861467758951</v>
      </c>
      <c r="X118">
        <v>0.98083467766864041</v>
      </c>
      <c r="Y118">
        <v>0.97349906434466149</v>
      </c>
      <c r="Z118">
        <v>0.98469035414536399</v>
      </c>
      <c r="AA118" s="10">
        <f t="shared" si="19"/>
        <v>10.5</v>
      </c>
      <c r="AB118">
        <v>3.4277334706765868E-2</v>
      </c>
      <c r="AC118">
        <v>2.937715153628917E-2</v>
      </c>
      <c r="AD118">
        <v>2.656474046398934E-2</v>
      </c>
      <c r="AE118">
        <v>2.8215358263780941E-2</v>
      </c>
      <c r="AF118">
        <v>2.792458833642987E-2</v>
      </c>
      <c r="AG118" s="86">
        <f t="shared" si="20"/>
        <v>17</v>
      </c>
      <c r="AH118">
        <v>0.96956181322582446</v>
      </c>
      <c r="AI118">
        <v>0.97322124974371294</v>
      </c>
      <c r="AJ118">
        <v>0.98604641317683861</v>
      </c>
      <c r="AK118">
        <v>0.98139004961160403</v>
      </c>
      <c r="AL118">
        <v>0.9918703382527494</v>
      </c>
      <c r="AM118" s="10">
        <f t="shared" si="21"/>
        <v>10.5</v>
      </c>
      <c r="AN118">
        <v>3.8713071292824162E-2</v>
      </c>
      <c r="AO118">
        <v>3.9393085520745892E-2</v>
      </c>
      <c r="AP118">
        <v>1.8495396226636918E-2</v>
      </c>
      <c r="AQ118">
        <v>2.7845487041602009E-2</v>
      </c>
      <c r="AR118">
        <v>1.9029782480953831E-2</v>
      </c>
      <c r="AS118" s="86">
        <f t="shared" si="22"/>
        <v>17</v>
      </c>
      <c r="AT118">
        <v>0.9082676280034595</v>
      </c>
      <c r="AU118">
        <v>0.94254660225572828</v>
      </c>
      <c r="AV118">
        <v>0.95815146375872295</v>
      </c>
      <c r="AW118">
        <v>0.9732517021175715</v>
      </c>
      <c r="AX118">
        <v>0.98412119268138576</v>
      </c>
      <c r="AY118" s="10">
        <f t="shared" si="23"/>
        <v>10.5</v>
      </c>
      <c r="AZ118">
        <v>2.9970212556809199E-2</v>
      </c>
      <c r="BA118">
        <v>2.811661819225245E-2</v>
      </c>
      <c r="BB118">
        <v>1.6329766188534309E-2</v>
      </c>
      <c r="BC118">
        <v>2.574745125142305E-2</v>
      </c>
      <c r="BD118">
        <v>1.547453599476451E-2</v>
      </c>
      <c r="BE118" s="86">
        <f t="shared" si="24"/>
        <v>17</v>
      </c>
      <c r="BF118">
        <v>0.92567596033944866</v>
      </c>
      <c r="BG118">
        <v>0.93841047259070132</v>
      </c>
      <c r="BH118">
        <v>0.95996524598730426</v>
      </c>
      <c r="BI118">
        <v>0.96691155081135138</v>
      </c>
      <c r="BJ118">
        <v>0.99164094847168616</v>
      </c>
      <c r="BK118" s="10">
        <f t="shared" si="25"/>
        <v>10.5</v>
      </c>
      <c r="BL118">
        <v>3.5912454996607453E-2</v>
      </c>
      <c r="BM118">
        <v>3.3340895062748281E-2</v>
      </c>
      <c r="BN118">
        <v>2.938205229710002E-2</v>
      </c>
      <c r="BO118">
        <v>2.863354518117741E-2</v>
      </c>
      <c r="BP118">
        <v>1.9785290088792231E-2</v>
      </c>
      <c r="BQ118" s="86">
        <f t="shared" si="26"/>
        <v>17</v>
      </c>
      <c r="BR118">
        <v>0.93644326280064116</v>
      </c>
      <c r="BS118">
        <v>0.91183654185562724</v>
      </c>
      <c r="BT118">
        <v>0.92809564353572538</v>
      </c>
      <c r="BU118">
        <v>0.98132779977944029</v>
      </c>
      <c r="BV118">
        <v>0.98320196060198184</v>
      </c>
      <c r="BW118" s="10">
        <f t="shared" si="27"/>
        <v>10.5</v>
      </c>
      <c r="BX118">
        <v>2.5005551074724259E-2</v>
      </c>
      <c r="BY118">
        <v>3.2889057062471097E-2</v>
      </c>
      <c r="BZ118">
        <v>2.7975900538055959E-2</v>
      </c>
      <c r="CA118">
        <v>2.1700929133291271E-2</v>
      </c>
      <c r="CB118">
        <v>1.9270661492986459E-2</v>
      </c>
      <c r="CC118" s="86">
        <f t="shared" si="28"/>
        <v>17</v>
      </c>
      <c r="CD118">
        <v>0.85265332012377071</v>
      </c>
      <c r="CE118">
        <v>0.82652553593531619</v>
      </c>
      <c r="CF118">
        <v>0.82601145512131879</v>
      </c>
      <c r="CG118">
        <v>0.93241550024158693</v>
      </c>
      <c r="CH118">
        <v>0.95819918315636077</v>
      </c>
      <c r="CI118" s="10">
        <f t="shared" si="29"/>
        <v>10.5</v>
      </c>
      <c r="CJ118">
        <v>2.6155219899123391E-2</v>
      </c>
      <c r="CK118">
        <v>2.6780728173141581E-2</v>
      </c>
      <c r="CL118">
        <v>2.6704644268482219E-2</v>
      </c>
      <c r="CM118">
        <v>2.5008408020529109E-2</v>
      </c>
      <c r="CN118">
        <v>2.7731153228478699E-2</v>
      </c>
    </row>
    <row r="119" spans="1:92" x14ac:dyDescent="0.2">
      <c r="A119" t="s">
        <v>32</v>
      </c>
      <c r="C119" s="10">
        <f>_xlfn.NORM.DIST(-11.15/SQRT(15),0,1,TRUE)*100</f>
        <v>0.19952127744490167</v>
      </c>
      <c r="U119" s="86">
        <f t="shared" si="18"/>
        <v>18</v>
      </c>
      <c r="V119">
        <v>0.96622342822406249</v>
      </c>
      <c r="W119">
        <v>0.98202659436843864</v>
      </c>
      <c r="X119">
        <v>0.99123502315534495</v>
      </c>
      <c r="Y119">
        <v>0.98108353803072446</v>
      </c>
      <c r="Z119">
        <v>0.99160922878334823</v>
      </c>
      <c r="AA119" s="10">
        <f t="shared" si="19"/>
        <v>11</v>
      </c>
      <c r="AB119">
        <v>3.1321569564093203E-2</v>
      </c>
      <c r="AC119">
        <v>2.7434231562114289E-2</v>
      </c>
      <c r="AD119">
        <v>2.5185125700341659E-2</v>
      </c>
      <c r="AE119">
        <v>2.57516206748977E-2</v>
      </c>
      <c r="AF119">
        <v>2.5356730935758909E-2</v>
      </c>
      <c r="AG119" s="86">
        <f t="shared" si="20"/>
        <v>18</v>
      </c>
      <c r="AH119">
        <v>0.98209910074725093</v>
      </c>
      <c r="AI119">
        <v>0.98153841726110636</v>
      </c>
      <c r="AJ119">
        <v>0.99229144236450584</v>
      </c>
      <c r="AK119">
        <v>0.98605233988880636</v>
      </c>
      <c r="AL119">
        <v>0.99599994893314225</v>
      </c>
      <c r="AM119" s="10">
        <f t="shared" si="21"/>
        <v>11</v>
      </c>
      <c r="AN119">
        <v>3.8453792369769979E-2</v>
      </c>
      <c r="AO119">
        <v>3.6797181273870917E-2</v>
      </c>
      <c r="AP119">
        <v>1.794123377795797E-2</v>
      </c>
      <c r="AQ119">
        <v>2.2642674898708241E-2</v>
      </c>
      <c r="AR119">
        <v>1.5994361838706658E-2</v>
      </c>
      <c r="AS119" s="86">
        <f t="shared" si="22"/>
        <v>18</v>
      </c>
      <c r="AT119">
        <v>0.93350852105559112</v>
      </c>
      <c r="AU119">
        <v>0.95822020788972018</v>
      </c>
      <c r="AV119">
        <v>0.96677220806030451</v>
      </c>
      <c r="AW119">
        <v>0.98038995485778013</v>
      </c>
      <c r="AX119">
        <v>0.98715885914908807</v>
      </c>
      <c r="AY119" s="10">
        <f t="shared" si="23"/>
        <v>11</v>
      </c>
      <c r="AZ119">
        <v>2.96224551367122E-2</v>
      </c>
      <c r="BA119">
        <v>2.7038108020005489E-2</v>
      </c>
      <c r="BB119">
        <v>1.4102571624227629E-2</v>
      </c>
      <c r="BC119">
        <v>2.4494618928969161E-2</v>
      </c>
      <c r="BD119">
        <v>1.283200668924857E-2</v>
      </c>
      <c r="BE119" s="86">
        <f t="shared" si="24"/>
        <v>18</v>
      </c>
      <c r="BF119">
        <v>0.95175708401236248</v>
      </c>
      <c r="BG119">
        <v>0.95777477490655005</v>
      </c>
      <c r="BH119">
        <v>0.97280511370739797</v>
      </c>
      <c r="BI119">
        <v>0.97702629640834404</v>
      </c>
      <c r="BJ119">
        <v>0.99343610561296058</v>
      </c>
      <c r="BK119" s="10">
        <f t="shared" si="25"/>
        <v>11</v>
      </c>
      <c r="BL119">
        <v>3.5739826514949578E-2</v>
      </c>
      <c r="BM119">
        <v>3.2066796821110202E-2</v>
      </c>
      <c r="BN119">
        <v>2.7968933285199931E-2</v>
      </c>
      <c r="BO119">
        <v>2.662234743279715E-2</v>
      </c>
      <c r="BP119">
        <v>1.6683662022984949E-2</v>
      </c>
      <c r="BQ119" s="86">
        <f t="shared" si="26"/>
        <v>18</v>
      </c>
      <c r="BR119">
        <v>0.95934893249858055</v>
      </c>
      <c r="BS119">
        <v>0.93797250329310278</v>
      </c>
      <c r="BT119">
        <v>0.94680339745015885</v>
      </c>
      <c r="BU119">
        <v>0.98872355898082331</v>
      </c>
      <c r="BV119">
        <v>0.98705200030758478</v>
      </c>
      <c r="BW119" s="10">
        <f t="shared" si="27"/>
        <v>11</v>
      </c>
      <c r="BX119">
        <v>2.5018801065315399E-2</v>
      </c>
      <c r="BY119">
        <v>3.1633823415451817E-2</v>
      </c>
      <c r="BZ119">
        <v>2.7280275760804051E-2</v>
      </c>
      <c r="CA119">
        <v>1.9949063511798929E-2</v>
      </c>
      <c r="CB119">
        <v>1.7103441481908569E-2</v>
      </c>
      <c r="CC119" s="86">
        <f t="shared" si="28"/>
        <v>18</v>
      </c>
      <c r="CD119">
        <v>0.89517146376419787</v>
      </c>
      <c r="CE119">
        <v>0.87752406565784069</v>
      </c>
      <c r="CF119">
        <v>0.87607423833562492</v>
      </c>
      <c r="CG119">
        <v>0.95374481790973198</v>
      </c>
      <c r="CH119">
        <v>0.96658111120087031</v>
      </c>
      <c r="CI119" s="10">
        <f t="shared" si="29"/>
        <v>11</v>
      </c>
      <c r="CJ119">
        <v>2.588037308667657E-2</v>
      </c>
      <c r="CK119">
        <v>2.6596565610413361E-2</v>
      </c>
      <c r="CL119">
        <v>2.6328540911543751E-2</v>
      </c>
      <c r="CM119">
        <v>2.3188186874418149E-2</v>
      </c>
      <c r="CN119">
        <v>2.396581619403839E-2</v>
      </c>
    </row>
    <row r="120" spans="1:92" x14ac:dyDescent="0.2">
      <c r="A120" t="s">
        <v>33</v>
      </c>
      <c r="C120" s="10">
        <f>_xlfn.NORM.DIST(-4.25/SQRT(15),0,1,TRUE)*100</f>
        <v>13.624524173497592</v>
      </c>
      <c r="U120" s="86">
        <f t="shared" si="18"/>
        <v>19</v>
      </c>
      <c r="V120">
        <v>0.98357146493902237</v>
      </c>
      <c r="W120">
        <v>0.99117315745567725</v>
      </c>
      <c r="X120">
        <v>0.99684771333906752</v>
      </c>
      <c r="Y120">
        <v>0.99031878131440609</v>
      </c>
      <c r="Z120">
        <v>0.99676007782340648</v>
      </c>
      <c r="AA120" s="10">
        <f t="shared" si="19"/>
        <v>11.5</v>
      </c>
      <c r="AB120">
        <v>2.864623506599354E-2</v>
      </c>
      <c r="AC120">
        <v>2.5947385186986319E-2</v>
      </c>
      <c r="AD120">
        <v>2.3185026555199641E-2</v>
      </c>
      <c r="AE120">
        <v>2.333270584062417E-2</v>
      </c>
      <c r="AF120">
        <v>2.2294766817848581E-2</v>
      </c>
      <c r="AG120" s="86">
        <f t="shared" si="20"/>
        <v>19</v>
      </c>
      <c r="AH120">
        <v>0.991509987483015</v>
      </c>
      <c r="AI120">
        <v>0.99065017284593138</v>
      </c>
      <c r="AJ120">
        <v>0.99632338646860008</v>
      </c>
      <c r="AK120">
        <v>0.99258971880370594</v>
      </c>
      <c r="AL120">
        <v>0.9982869806948631</v>
      </c>
      <c r="AM120" s="10">
        <f t="shared" si="21"/>
        <v>11.5</v>
      </c>
      <c r="AN120">
        <v>3.7754200729065129E-2</v>
      </c>
      <c r="AO120">
        <v>3.3348196454797439E-2</v>
      </c>
      <c r="AP120">
        <v>1.5818854171828128E-2</v>
      </c>
      <c r="AQ120">
        <v>1.8311643563660881E-2</v>
      </c>
      <c r="AR120">
        <v>1.2008191060823859E-2</v>
      </c>
      <c r="AS120" s="86">
        <f t="shared" si="22"/>
        <v>19</v>
      </c>
      <c r="AT120">
        <v>0.96477739768795046</v>
      </c>
      <c r="AU120">
        <v>0.97810188264773312</v>
      </c>
      <c r="AV120">
        <v>0.98012407810631441</v>
      </c>
      <c r="AW120">
        <v>0.989951969625951</v>
      </c>
      <c r="AX120">
        <v>0.99164610922114449</v>
      </c>
      <c r="AY120" s="10">
        <f t="shared" si="23"/>
        <v>11.5</v>
      </c>
      <c r="AZ120">
        <v>2.9174653665268401E-2</v>
      </c>
      <c r="BA120">
        <v>2.6196983111633858E-2</v>
      </c>
      <c r="BB120">
        <v>1.259653111812473E-2</v>
      </c>
      <c r="BC120">
        <v>2.3301350962591921E-2</v>
      </c>
      <c r="BD120">
        <v>1.169789997083851E-2</v>
      </c>
      <c r="BE120" s="86">
        <f t="shared" si="24"/>
        <v>19</v>
      </c>
      <c r="BF120">
        <v>0.97596595106023387</v>
      </c>
      <c r="BG120">
        <v>0.97860871718256115</v>
      </c>
      <c r="BH120">
        <v>0.98635882601661151</v>
      </c>
      <c r="BI120">
        <v>0.98837663634337947</v>
      </c>
      <c r="BJ120">
        <v>0.99608851201879034</v>
      </c>
      <c r="BK120" s="10">
        <f t="shared" si="25"/>
        <v>11.5</v>
      </c>
      <c r="BL120">
        <v>3.5070884667285668E-2</v>
      </c>
      <c r="BM120">
        <v>3.086739599434395E-2</v>
      </c>
      <c r="BN120">
        <v>2.61848269063268E-2</v>
      </c>
      <c r="BO120">
        <v>2.474908348903614E-2</v>
      </c>
      <c r="BP120">
        <v>1.375714336625309E-2</v>
      </c>
      <c r="BQ120" s="86">
        <f t="shared" si="26"/>
        <v>19</v>
      </c>
      <c r="BR120">
        <v>0.97990323570518889</v>
      </c>
      <c r="BS120">
        <v>0.96737345941101593</v>
      </c>
      <c r="BT120">
        <v>0.97128455593177254</v>
      </c>
      <c r="BU120">
        <v>0.99456762702334456</v>
      </c>
      <c r="BV120">
        <v>0.99304184107189652</v>
      </c>
      <c r="BW120" s="10">
        <f t="shared" si="27"/>
        <v>11.5</v>
      </c>
      <c r="BX120">
        <v>2.5006133750463001E-2</v>
      </c>
      <c r="BY120">
        <v>3.0224177518311041E-2</v>
      </c>
      <c r="BZ120">
        <v>2.6809828482663001E-2</v>
      </c>
      <c r="CA120">
        <v>1.856438706666743E-2</v>
      </c>
      <c r="CB120">
        <v>1.5785853143837819E-2</v>
      </c>
      <c r="CC120" s="86">
        <f t="shared" si="28"/>
        <v>19</v>
      </c>
      <c r="CD120">
        <v>0.94553539734634451</v>
      </c>
      <c r="CE120">
        <v>0.93678375808525305</v>
      </c>
      <c r="CF120">
        <v>0.93636305337404091</v>
      </c>
      <c r="CG120">
        <v>0.97612147132175398</v>
      </c>
      <c r="CH120">
        <v>0.98229394889794985</v>
      </c>
      <c r="CI120" s="10">
        <f t="shared" si="29"/>
        <v>11.5</v>
      </c>
      <c r="CJ120">
        <v>2.5469612694906291E-2</v>
      </c>
      <c r="CK120">
        <v>2.6523103603282749E-2</v>
      </c>
      <c r="CL120">
        <v>2.5656381775649471E-2</v>
      </c>
      <c r="CM120">
        <v>2.117107890812683E-2</v>
      </c>
      <c r="CN120">
        <v>2.0645083732183381E-2</v>
      </c>
    </row>
    <row r="121" spans="1:92" x14ac:dyDescent="0.2">
      <c r="U121" s="86">
        <f t="shared" si="18"/>
        <v>20</v>
      </c>
      <c r="V121">
        <v>1</v>
      </c>
      <c r="W121">
        <v>1</v>
      </c>
      <c r="X121">
        <v>1</v>
      </c>
      <c r="Y121">
        <v>1</v>
      </c>
      <c r="Z121">
        <v>1</v>
      </c>
      <c r="AA121" s="10">
        <f t="shared" si="19"/>
        <v>12</v>
      </c>
      <c r="AB121">
        <v>2.615362966090835E-2</v>
      </c>
      <c r="AC121">
        <v>2.480533942139778E-2</v>
      </c>
      <c r="AD121">
        <v>2.043861619438312E-2</v>
      </c>
      <c r="AE121">
        <v>2.081498924096899E-2</v>
      </c>
      <c r="AF121">
        <v>1.873940105592754E-2</v>
      </c>
      <c r="AG121" s="86">
        <f t="shared" si="20"/>
        <v>20</v>
      </c>
      <c r="AH121">
        <v>1</v>
      </c>
      <c r="AI121">
        <v>1</v>
      </c>
      <c r="AJ121">
        <v>1</v>
      </c>
      <c r="AK121">
        <v>1</v>
      </c>
      <c r="AL121">
        <v>0.99999999999999989</v>
      </c>
      <c r="AM121" s="10">
        <f t="shared" si="21"/>
        <v>12</v>
      </c>
      <c r="AN121">
        <v>3.6576360383221658E-2</v>
      </c>
      <c r="AO121">
        <v>2.8977996910322591E-2</v>
      </c>
      <c r="AP121">
        <v>1.203113533505731E-2</v>
      </c>
      <c r="AQ121">
        <v>1.5066158305676871E-2</v>
      </c>
      <c r="AR121">
        <v>9.5686299491162894E-3</v>
      </c>
      <c r="AS121" s="86">
        <f t="shared" si="22"/>
        <v>20</v>
      </c>
      <c r="AT121">
        <v>0.99999999999999989</v>
      </c>
      <c r="AU121">
        <v>1</v>
      </c>
      <c r="AV121">
        <v>1</v>
      </c>
      <c r="AW121">
        <v>1</v>
      </c>
      <c r="AX121">
        <v>1</v>
      </c>
      <c r="AY121" s="10">
        <f t="shared" si="23"/>
        <v>12</v>
      </c>
      <c r="AZ121">
        <v>2.8639240761798749E-2</v>
      </c>
      <c r="BA121">
        <v>2.5583808108592551E-2</v>
      </c>
      <c r="BB121">
        <v>1.1538008091707141E-2</v>
      </c>
      <c r="BC121">
        <v>2.1938094820590039E-2</v>
      </c>
      <c r="BD121">
        <v>1.1388793456492061E-2</v>
      </c>
      <c r="BE121" s="86">
        <f t="shared" si="24"/>
        <v>20</v>
      </c>
      <c r="BF121">
        <v>1</v>
      </c>
      <c r="BG121">
        <v>1</v>
      </c>
      <c r="BH121">
        <v>1</v>
      </c>
      <c r="BI121">
        <v>1</v>
      </c>
      <c r="BJ121">
        <v>0.99999999999999989</v>
      </c>
      <c r="BK121" s="10">
        <f t="shared" si="25"/>
        <v>12</v>
      </c>
      <c r="BL121">
        <v>3.3953372387695087E-2</v>
      </c>
      <c r="BM121">
        <v>2.974068713573913E-2</v>
      </c>
      <c r="BN121">
        <v>2.400958467247076E-2</v>
      </c>
      <c r="BO121">
        <v>2.294162463075735E-2</v>
      </c>
      <c r="BP121">
        <v>1.097679100594348E-2</v>
      </c>
      <c r="BQ121" s="86">
        <f t="shared" si="26"/>
        <v>20</v>
      </c>
      <c r="BR121">
        <v>1</v>
      </c>
      <c r="BS121">
        <v>1</v>
      </c>
      <c r="BT121">
        <v>1</v>
      </c>
      <c r="BU121">
        <v>1</v>
      </c>
      <c r="BV121">
        <v>1</v>
      </c>
      <c r="BW121" s="10">
        <f t="shared" si="27"/>
        <v>12</v>
      </c>
      <c r="BX121">
        <v>2.4972820083175369E-2</v>
      </c>
      <c r="BY121">
        <v>2.869035938590208E-2</v>
      </c>
      <c r="BZ121">
        <v>2.653029024872202E-2</v>
      </c>
      <c r="CA121">
        <v>1.748881933904332E-2</v>
      </c>
      <c r="CB121">
        <v>1.5003691923477469E-2</v>
      </c>
      <c r="CC121" s="86">
        <f t="shared" si="28"/>
        <v>20</v>
      </c>
      <c r="CD121">
        <v>1</v>
      </c>
      <c r="CE121">
        <v>1</v>
      </c>
      <c r="CF121">
        <v>1</v>
      </c>
      <c r="CG121">
        <v>0.99999999999999989</v>
      </c>
      <c r="CH121">
        <v>1</v>
      </c>
      <c r="CI121" s="10">
        <f t="shared" si="29"/>
        <v>12</v>
      </c>
      <c r="CJ121">
        <v>2.4991579089770361E-2</v>
      </c>
      <c r="CK121">
        <v>2.650589647502356E-2</v>
      </c>
      <c r="CL121">
        <v>2.4846630207204921E-2</v>
      </c>
      <c r="CM121">
        <v>1.9007991498426659E-2</v>
      </c>
      <c r="CN121">
        <v>1.775477751454849E-2</v>
      </c>
    </row>
    <row r="122" spans="1:92" x14ac:dyDescent="0.2">
      <c r="C122" t="e">
        <f>_xlfn.T.INV.2T(7.7459,14)</f>
        <v>#NUM!</v>
      </c>
      <c r="U122" s="86">
        <f t="shared" si="18"/>
        <v>21</v>
      </c>
      <c r="AA122" s="10">
        <f t="shared" si="19"/>
        <v>12.5</v>
      </c>
      <c r="AB122">
        <v>2.3933515876270899E-2</v>
      </c>
      <c r="AC122">
        <v>2.3171155506757499E-2</v>
      </c>
      <c r="AD122">
        <v>1.7382093989944971E-2</v>
      </c>
      <c r="AE122">
        <v>1.7708861334348059E-2</v>
      </c>
      <c r="AF122">
        <v>1.4704810849324641E-2</v>
      </c>
      <c r="AG122" s="86">
        <f t="shared" si="20"/>
        <v>21</v>
      </c>
      <c r="AM122" s="10">
        <f t="shared" si="21"/>
        <v>12.5</v>
      </c>
      <c r="AN122">
        <v>3.4445448733532683E-2</v>
      </c>
      <c r="AO122">
        <v>2.3870322174763571E-2</v>
      </c>
      <c r="AP122">
        <v>8.6875182882934533E-3</v>
      </c>
      <c r="AQ122">
        <v>1.33072102511628E-2</v>
      </c>
      <c r="AR122">
        <v>9.0337206238048692E-3</v>
      </c>
      <c r="AS122" s="86">
        <f t="shared" si="22"/>
        <v>21</v>
      </c>
      <c r="AY122" s="10">
        <f t="shared" si="23"/>
        <v>12.5</v>
      </c>
      <c r="AZ122">
        <v>2.6936935002611261E-2</v>
      </c>
      <c r="BA122">
        <v>2.4665422872433739E-2</v>
      </c>
      <c r="BB122">
        <v>1.0246658938675169E-2</v>
      </c>
      <c r="BC122">
        <v>1.9891734869965531E-2</v>
      </c>
      <c r="BD122">
        <v>1.0019934398021429E-2</v>
      </c>
      <c r="BE122" s="86">
        <f t="shared" si="24"/>
        <v>21</v>
      </c>
      <c r="BK122" s="10">
        <f t="shared" si="25"/>
        <v>12.5</v>
      </c>
      <c r="BL122">
        <v>3.2135457159980493E-2</v>
      </c>
      <c r="BM122">
        <v>2.8133388863426069E-2</v>
      </c>
      <c r="BN122">
        <v>2.09446979476808E-2</v>
      </c>
      <c r="BO122">
        <v>2.0480822339646178E-2</v>
      </c>
      <c r="BP122">
        <v>7.5127459659634953E-3</v>
      </c>
      <c r="BQ122" s="86">
        <f t="shared" si="26"/>
        <v>21</v>
      </c>
      <c r="BW122" s="10">
        <f t="shared" si="27"/>
        <v>12.5</v>
      </c>
      <c r="BX122">
        <v>2.4575271939795099E-2</v>
      </c>
      <c r="BY122">
        <v>2.669616731819148E-2</v>
      </c>
      <c r="BZ122">
        <v>2.562098820673037E-2</v>
      </c>
      <c r="CA122">
        <v>1.6120809101350071E-2</v>
      </c>
      <c r="CB122">
        <v>1.371510626687078E-2</v>
      </c>
      <c r="CC122" s="86">
        <f t="shared" si="28"/>
        <v>21</v>
      </c>
      <c r="CI122" s="10">
        <f t="shared" si="29"/>
        <v>12.5</v>
      </c>
      <c r="CJ122">
        <v>2.428773759547953E-2</v>
      </c>
      <c r="CK122">
        <v>2.6163271512357769E-2</v>
      </c>
      <c r="CL122">
        <v>2.3640776946545351E-2</v>
      </c>
      <c r="CM122">
        <v>1.6571885540009958E-2</v>
      </c>
      <c r="CN122">
        <v>1.5526170622519981E-2</v>
      </c>
    </row>
    <row r="123" spans="1:92" x14ac:dyDescent="0.2">
      <c r="C123">
        <f>_xlfn.T.DIST(4,14,FALSE)</f>
        <v>1.2903639439119025E-3</v>
      </c>
      <c r="U123" s="86">
        <f t="shared" si="18"/>
        <v>22</v>
      </c>
      <c r="AA123" s="10">
        <f t="shared" si="19"/>
        <v>13</v>
      </c>
      <c r="AB123">
        <v>2.2106664088468349E-2</v>
      </c>
      <c r="AC123">
        <v>2.1181955873397981E-2</v>
      </c>
      <c r="AD123">
        <v>1.4691343333272889E-2</v>
      </c>
      <c r="AE123">
        <v>1.471165701475902E-2</v>
      </c>
      <c r="AF123">
        <v>1.0948806607637401E-2</v>
      </c>
      <c r="AG123" s="86">
        <f t="shared" si="20"/>
        <v>22</v>
      </c>
      <c r="AM123" s="10">
        <f t="shared" si="21"/>
        <v>13</v>
      </c>
      <c r="AN123">
        <v>3.1590071528034509E-2</v>
      </c>
      <c r="AO123">
        <v>1.9137251341322419E-2</v>
      </c>
      <c r="AP123">
        <v>6.6648019178730889E-3</v>
      </c>
      <c r="AQ123">
        <v>1.2052022698942261E-2</v>
      </c>
      <c r="AR123">
        <v>9.6440894004590945E-3</v>
      </c>
      <c r="AS123" s="86">
        <f t="shared" si="22"/>
        <v>22</v>
      </c>
      <c r="AY123" s="10">
        <f t="shared" si="23"/>
        <v>13</v>
      </c>
      <c r="AZ123">
        <v>2.4769171520606661E-2</v>
      </c>
      <c r="BA123">
        <v>2.3371954484162589E-2</v>
      </c>
      <c r="BB123">
        <v>9.2550807079761436E-3</v>
      </c>
      <c r="BC123">
        <v>1.7689066723291121E-2</v>
      </c>
      <c r="BD123">
        <v>8.0241367244657576E-3</v>
      </c>
      <c r="BE123" s="86">
        <f t="shared" si="24"/>
        <v>22</v>
      </c>
      <c r="BK123" s="10">
        <f t="shared" si="25"/>
        <v>13</v>
      </c>
      <c r="BL123">
        <v>3.0091813922649469E-2</v>
      </c>
      <c r="BM123">
        <v>2.6293990619516362E-2</v>
      </c>
      <c r="BN123">
        <v>1.7828848072071982E-2</v>
      </c>
      <c r="BO123">
        <v>1.769236161702219E-2</v>
      </c>
      <c r="BP123">
        <v>4.4388249338695469E-3</v>
      </c>
      <c r="BQ123" s="86">
        <f t="shared" si="26"/>
        <v>22</v>
      </c>
      <c r="BW123" s="10">
        <f t="shared" si="27"/>
        <v>13</v>
      </c>
      <c r="BX123">
        <v>2.406669013595935E-2</v>
      </c>
      <c r="BY123">
        <v>2.4627776767868179E-2</v>
      </c>
      <c r="BZ123">
        <v>2.4228441309090829E-2</v>
      </c>
      <c r="CA123">
        <v>1.4575076378708781E-2</v>
      </c>
      <c r="CB123">
        <v>1.217009016954875E-2</v>
      </c>
      <c r="CC123" s="86">
        <f t="shared" si="28"/>
        <v>22</v>
      </c>
      <c r="CI123" s="10">
        <f t="shared" si="29"/>
        <v>13</v>
      </c>
      <c r="CJ123">
        <v>2.3516200661182089E-2</v>
      </c>
      <c r="CK123">
        <v>2.5657972751765949E-2</v>
      </c>
      <c r="CL123">
        <v>2.238174432294671E-2</v>
      </c>
      <c r="CM123">
        <v>1.4298573939496821E-2</v>
      </c>
      <c r="CN123">
        <v>1.373072073707601E-2</v>
      </c>
    </row>
    <row r="124" spans="1:92" x14ac:dyDescent="0.2">
      <c r="A124" t="s">
        <v>34</v>
      </c>
      <c r="U124" s="86">
        <f t="shared" si="18"/>
        <v>23</v>
      </c>
      <c r="AA124" s="10">
        <f t="shared" si="19"/>
        <v>13.5</v>
      </c>
      <c r="AB124">
        <v>2.0647670753376309E-2</v>
      </c>
      <c r="AC124">
        <v>1.8909025542226308E-2</v>
      </c>
      <c r="AD124">
        <v>1.2396095225281069E-2</v>
      </c>
      <c r="AE124">
        <v>1.193361206249937E-2</v>
      </c>
      <c r="AF124">
        <v>7.6360891026679379E-3</v>
      </c>
      <c r="AG124" s="86">
        <f t="shared" si="20"/>
        <v>23</v>
      </c>
      <c r="AM124" s="10">
        <f t="shared" si="21"/>
        <v>13.5</v>
      </c>
      <c r="AN124">
        <v>2.804552401577241E-2</v>
      </c>
      <c r="AO124">
        <v>1.492884037177279E-2</v>
      </c>
      <c r="AP124">
        <v>5.5706238247885762E-3</v>
      </c>
      <c r="AQ124">
        <v>1.121837981192994E-2</v>
      </c>
      <c r="AR124">
        <v>9.9482215715704439E-3</v>
      </c>
      <c r="AS124" s="86">
        <f t="shared" si="22"/>
        <v>23</v>
      </c>
      <c r="AY124" s="10">
        <f t="shared" si="23"/>
        <v>13.5</v>
      </c>
      <c r="AZ124">
        <v>2.206989890509594E-2</v>
      </c>
      <c r="BA124">
        <v>2.168787740969632E-2</v>
      </c>
      <c r="BB124">
        <v>8.6279376602395527E-3</v>
      </c>
      <c r="BC124">
        <v>1.5370254186873491E-2</v>
      </c>
      <c r="BD124">
        <v>5.9120479071199357E-3</v>
      </c>
      <c r="BE124" s="86">
        <f t="shared" si="24"/>
        <v>23</v>
      </c>
      <c r="BK124" s="10">
        <f t="shared" si="25"/>
        <v>13.5</v>
      </c>
      <c r="BL124">
        <v>2.77984176470422E-2</v>
      </c>
      <c r="BM124">
        <v>2.4216089163923211E-2</v>
      </c>
      <c r="BN124">
        <v>1.470170380669987E-2</v>
      </c>
      <c r="BO124">
        <v>1.4687639005999301E-2</v>
      </c>
      <c r="BP124">
        <v>2.291513793736248E-3</v>
      </c>
      <c r="BQ124" s="86">
        <f t="shared" si="26"/>
        <v>23</v>
      </c>
      <c r="BW124" s="10">
        <f t="shared" si="27"/>
        <v>13.5</v>
      </c>
      <c r="BX124">
        <v>2.341872810495919E-2</v>
      </c>
      <c r="BY124">
        <v>2.2467117969082691E-2</v>
      </c>
      <c r="BZ124">
        <v>2.2265906391716939E-2</v>
      </c>
      <c r="CA124">
        <v>1.2887514081559181E-2</v>
      </c>
      <c r="CB124">
        <v>1.047902918382727E-2</v>
      </c>
      <c r="CC124" s="86">
        <f t="shared" si="28"/>
        <v>23</v>
      </c>
      <c r="CI124" s="10">
        <f t="shared" si="29"/>
        <v>13.5</v>
      </c>
      <c r="CJ124">
        <v>2.2607897113624022E-2</v>
      </c>
      <c r="CK124">
        <v>2.4832558115487371E-2</v>
      </c>
      <c r="CL124">
        <v>2.1008286382290381E-2</v>
      </c>
      <c r="CM124">
        <v>1.224482793481322E-2</v>
      </c>
      <c r="CN124">
        <v>1.235966058421323E-2</v>
      </c>
    </row>
    <row r="125" spans="1:92" x14ac:dyDescent="0.2">
      <c r="A125" t="s">
        <v>35</v>
      </c>
      <c r="U125" s="86">
        <f t="shared" si="18"/>
        <v>24</v>
      </c>
      <c r="AA125" s="10">
        <f t="shared" si="19"/>
        <v>14</v>
      </c>
      <c r="AB125">
        <v>1.960759532124131E-2</v>
      </c>
      <c r="AC125">
        <v>1.6567890360673701E-2</v>
      </c>
      <c r="AD125">
        <v>1.074401568812554E-2</v>
      </c>
      <c r="AE125">
        <v>1.0051645203149519E-2</v>
      </c>
      <c r="AF125">
        <v>5.4958236347478397E-3</v>
      </c>
      <c r="AG125" s="86">
        <f t="shared" si="20"/>
        <v>24</v>
      </c>
      <c r="AM125" s="10">
        <f t="shared" si="21"/>
        <v>14</v>
      </c>
      <c r="AN125">
        <v>2.362335529969847E-2</v>
      </c>
      <c r="AO125">
        <v>1.2004013679847559E-2</v>
      </c>
      <c r="AP125">
        <v>4.8361197195865057E-3</v>
      </c>
      <c r="AQ125">
        <v>1.071041305292233E-2</v>
      </c>
      <c r="AR125">
        <v>9.8100414135634181E-3</v>
      </c>
      <c r="AS125" s="86">
        <f t="shared" si="22"/>
        <v>24</v>
      </c>
      <c r="AY125" s="10">
        <f t="shared" si="23"/>
        <v>14</v>
      </c>
      <c r="AZ125">
        <v>1.929899129699085E-2</v>
      </c>
      <c r="BA125">
        <v>1.956623123939397E-2</v>
      </c>
      <c r="BB125">
        <v>8.4903367605251197E-3</v>
      </c>
      <c r="BC125">
        <v>1.3061758611865469E-2</v>
      </c>
      <c r="BD125">
        <v>4.1483706745338612E-3</v>
      </c>
      <c r="BE125" s="86">
        <f t="shared" si="24"/>
        <v>24</v>
      </c>
      <c r="BK125" s="10">
        <f t="shared" si="25"/>
        <v>14</v>
      </c>
      <c r="BL125">
        <v>2.5269432712141271E-2</v>
      </c>
      <c r="BM125">
        <v>2.2116087904552491E-2</v>
      </c>
      <c r="BN125">
        <v>1.256668946036343E-2</v>
      </c>
      <c r="BO125">
        <v>1.203951721388927E-2</v>
      </c>
      <c r="BP125">
        <v>1.342921928249806E-3</v>
      </c>
      <c r="BQ125" s="86">
        <f t="shared" si="26"/>
        <v>24</v>
      </c>
      <c r="BW125" s="10">
        <f t="shared" si="27"/>
        <v>14</v>
      </c>
      <c r="BX125">
        <v>2.275839838742489E-2</v>
      </c>
      <c r="BY125">
        <v>2.0534173686790461E-2</v>
      </c>
      <c r="BZ125">
        <v>1.9737006418334771E-2</v>
      </c>
      <c r="CA125">
        <v>1.1202944344957539E-2</v>
      </c>
      <c r="CB125">
        <v>8.9250768640845302E-3</v>
      </c>
      <c r="CC125" s="86">
        <f t="shared" si="28"/>
        <v>24</v>
      </c>
      <c r="CI125" s="10">
        <f t="shared" si="29"/>
        <v>14</v>
      </c>
      <c r="CJ125">
        <v>2.1607204735303049E-2</v>
      </c>
      <c r="CK125">
        <v>2.38832704243459E-2</v>
      </c>
      <c r="CL125">
        <v>1.976762579049704E-2</v>
      </c>
      <c r="CM125">
        <v>1.108447436084029E-2</v>
      </c>
      <c r="CN125">
        <v>1.1625950060817101E-2</v>
      </c>
    </row>
    <row r="126" spans="1:92" x14ac:dyDescent="0.2">
      <c r="U126" s="86">
        <f t="shared" si="18"/>
        <v>25</v>
      </c>
      <c r="AA126" s="10">
        <f t="shared" si="19"/>
        <v>14.5</v>
      </c>
      <c r="AB126">
        <v>1.844791456326372E-2</v>
      </c>
      <c r="AC126">
        <v>1.4393582711923319E-2</v>
      </c>
      <c r="AD126">
        <v>9.5427048075578617E-3</v>
      </c>
      <c r="AE126">
        <v>8.8069822566230697E-3</v>
      </c>
      <c r="AF126">
        <v>4.4102667875907864E-3</v>
      </c>
      <c r="AG126" s="86">
        <f t="shared" si="20"/>
        <v>25</v>
      </c>
      <c r="AM126" s="10">
        <f t="shared" si="21"/>
        <v>14.5</v>
      </c>
      <c r="AN126">
        <v>1.933756833802577E-2</v>
      </c>
      <c r="AO126">
        <v>1.016513695385983E-2</v>
      </c>
      <c r="AP126">
        <v>3.5919343692523489E-3</v>
      </c>
      <c r="AQ126">
        <v>1.007837256217487E-2</v>
      </c>
      <c r="AR126">
        <v>9.8110759304820463E-3</v>
      </c>
      <c r="AS126" s="86">
        <f t="shared" si="22"/>
        <v>25</v>
      </c>
      <c r="AY126" s="10">
        <f t="shared" si="23"/>
        <v>14.5</v>
      </c>
      <c r="AZ126">
        <v>1.6760050105630642E-2</v>
      </c>
      <c r="BA126">
        <v>1.745199909850826E-2</v>
      </c>
      <c r="BB126">
        <v>8.2352475509665547E-3</v>
      </c>
      <c r="BC126">
        <v>1.085534328124213E-2</v>
      </c>
      <c r="BD126">
        <v>3.4168791430145961E-3</v>
      </c>
      <c r="BE126" s="86">
        <f t="shared" si="24"/>
        <v>25</v>
      </c>
      <c r="BK126" s="10">
        <f t="shared" si="25"/>
        <v>14.5</v>
      </c>
      <c r="BL126">
        <v>2.2797688290202459E-2</v>
      </c>
      <c r="BM126">
        <v>2.0155289643983099E-2</v>
      </c>
      <c r="BN126">
        <v>1.117567678555105E-2</v>
      </c>
      <c r="BO126">
        <v>1.0146808487265339E-2</v>
      </c>
      <c r="BP126">
        <v>1.6036471496602199E-3</v>
      </c>
      <c r="BQ126" s="86">
        <f t="shared" si="26"/>
        <v>25</v>
      </c>
      <c r="BW126" s="10">
        <f t="shared" si="27"/>
        <v>14.5</v>
      </c>
      <c r="BX126">
        <v>2.2059581986097639E-2</v>
      </c>
      <c r="BY126">
        <v>1.873407136831506E-2</v>
      </c>
      <c r="BZ126">
        <v>1.7154171514615981E-2</v>
      </c>
      <c r="CA126">
        <v>9.6124994318711222E-3</v>
      </c>
      <c r="CB126">
        <v>7.5506341025811802E-3</v>
      </c>
      <c r="CC126" s="86">
        <f t="shared" si="28"/>
        <v>25</v>
      </c>
      <c r="CI126" s="10">
        <f t="shared" si="29"/>
        <v>14.5</v>
      </c>
      <c r="CJ126">
        <v>2.0559379160597389E-2</v>
      </c>
      <c r="CK126">
        <v>2.2875578957127461E-2</v>
      </c>
      <c r="CL126">
        <v>1.8603435655343541E-2</v>
      </c>
      <c r="CM126">
        <v>1.0353777927152689E-2</v>
      </c>
      <c r="CN126">
        <v>1.079834693422429E-2</v>
      </c>
    </row>
    <row r="127" spans="1:92" x14ac:dyDescent="0.2">
      <c r="U127" s="86">
        <f t="shared" si="18"/>
        <v>26</v>
      </c>
      <c r="AA127" s="10">
        <f t="shared" si="19"/>
        <v>15</v>
      </c>
      <c r="AB127">
        <v>1.7166476620860009E-2</v>
      </c>
      <c r="AC127">
        <v>1.234125509254398E-2</v>
      </c>
      <c r="AD127">
        <v>8.6367949459453443E-3</v>
      </c>
      <c r="AE127">
        <v>7.9047757829744034E-3</v>
      </c>
      <c r="AF127">
        <v>3.9172948992133557E-3</v>
      </c>
      <c r="AG127" s="86">
        <f t="shared" si="20"/>
        <v>26</v>
      </c>
      <c r="AM127" s="10">
        <f t="shared" si="21"/>
        <v>15</v>
      </c>
      <c r="AN127">
        <v>1.546280265465289E-2</v>
      </c>
      <c r="AO127">
        <v>8.8898210329918011E-3</v>
      </c>
      <c r="AP127">
        <v>3.0928166334980591E-3</v>
      </c>
      <c r="AQ127">
        <v>9.1846629814976415E-3</v>
      </c>
      <c r="AR127">
        <v>8.2651067319457865E-3</v>
      </c>
      <c r="AS127" s="86">
        <f t="shared" si="22"/>
        <v>26</v>
      </c>
      <c r="AY127" s="10">
        <f t="shared" si="23"/>
        <v>15</v>
      </c>
      <c r="AZ127">
        <v>1.457576334290381E-2</v>
      </c>
      <c r="BA127">
        <v>1.535637047385228E-2</v>
      </c>
      <c r="BB127">
        <v>7.8074110462743092E-3</v>
      </c>
      <c r="BC127">
        <v>8.769199197507991E-3</v>
      </c>
      <c r="BD127">
        <v>3.3414372114260009E-3</v>
      </c>
      <c r="BE127" s="86">
        <f t="shared" si="24"/>
        <v>26</v>
      </c>
      <c r="BK127" s="10">
        <f t="shared" si="25"/>
        <v>15</v>
      </c>
      <c r="BL127">
        <v>2.042065553491303E-2</v>
      </c>
      <c r="BM127">
        <v>1.8345873157913379E-2</v>
      </c>
      <c r="BN127">
        <v>1.0426444421075969E-2</v>
      </c>
      <c r="BO127">
        <v>8.8127077235321087E-3</v>
      </c>
      <c r="BP127">
        <v>2.528176332795277E-3</v>
      </c>
      <c r="BQ127" s="86">
        <f t="shared" si="26"/>
        <v>26</v>
      </c>
      <c r="BW127" s="10">
        <f t="shared" si="27"/>
        <v>15</v>
      </c>
      <c r="BX127">
        <v>2.1285899548723449E-2</v>
      </c>
      <c r="BY127">
        <v>1.71406024629423E-2</v>
      </c>
      <c r="BZ127">
        <v>1.4566196657006369E-2</v>
      </c>
      <c r="CA127">
        <v>8.1404381543548551E-3</v>
      </c>
      <c r="CB127">
        <v>6.2267138860542604E-3</v>
      </c>
      <c r="CC127" s="86">
        <f t="shared" si="28"/>
        <v>26</v>
      </c>
      <c r="CI127" s="10">
        <f t="shared" si="29"/>
        <v>15</v>
      </c>
      <c r="CJ127">
        <v>1.9691631757812581E-2</v>
      </c>
      <c r="CK127">
        <v>2.226392302098934E-2</v>
      </c>
      <c r="CL127">
        <v>1.8229497260995799E-2</v>
      </c>
      <c r="CM127">
        <v>1.03369198880887E-2</v>
      </c>
      <c r="CN127">
        <v>9.7883301984293784E-3</v>
      </c>
    </row>
    <row r="128" spans="1:92" x14ac:dyDescent="0.2">
      <c r="U128" s="86">
        <f t="shared" si="18"/>
        <v>27</v>
      </c>
      <c r="AA128" s="10">
        <f t="shared" si="19"/>
        <v>15.5</v>
      </c>
      <c r="AB128">
        <v>1.565964485184719E-2</v>
      </c>
      <c r="AC128">
        <v>1.0427712900637379E-2</v>
      </c>
      <c r="AD128">
        <v>8.0165264622268535E-3</v>
      </c>
      <c r="AE128">
        <v>7.1863442131870781E-3</v>
      </c>
      <c r="AF128">
        <v>3.9141456559425207E-3</v>
      </c>
      <c r="AG128" s="86">
        <f t="shared" si="20"/>
        <v>27</v>
      </c>
      <c r="AM128" s="10">
        <f t="shared" si="21"/>
        <v>15.5</v>
      </c>
      <c r="AN128">
        <v>1.25308570440843E-2</v>
      </c>
      <c r="AO128">
        <v>8.0182710340930084E-3</v>
      </c>
      <c r="AP128">
        <v>4.0299290040969457E-3</v>
      </c>
      <c r="AQ128">
        <v>7.8918455029188418E-3</v>
      </c>
      <c r="AR128">
        <v>5.8403221911136824E-3</v>
      </c>
      <c r="AS128" s="86">
        <f t="shared" si="22"/>
        <v>27</v>
      </c>
      <c r="AY128" s="10">
        <f t="shared" si="23"/>
        <v>15.5</v>
      </c>
      <c r="AZ128">
        <v>1.2973474825119929E-2</v>
      </c>
      <c r="BA128">
        <v>1.335418962325852E-2</v>
      </c>
      <c r="BB128">
        <v>7.1841090241061946E-3</v>
      </c>
      <c r="BC128">
        <v>6.8846633172180254E-3</v>
      </c>
      <c r="BD128">
        <v>3.5103318597625279E-3</v>
      </c>
      <c r="BE128" s="86">
        <f t="shared" si="24"/>
        <v>27</v>
      </c>
      <c r="BK128" s="10">
        <f t="shared" si="25"/>
        <v>15.5</v>
      </c>
      <c r="BL128">
        <v>1.8518548342169872E-2</v>
      </c>
      <c r="BM128">
        <v>1.670380505824786E-2</v>
      </c>
      <c r="BN128">
        <v>1.0204280072228971E-2</v>
      </c>
      <c r="BO128">
        <v>8.1137612431782507E-3</v>
      </c>
      <c r="BP128">
        <v>3.3488696892859339E-3</v>
      </c>
      <c r="BQ128" s="86">
        <f t="shared" si="26"/>
        <v>27</v>
      </c>
      <c r="BW128" s="10">
        <f t="shared" si="27"/>
        <v>15.5</v>
      </c>
      <c r="BX128">
        <v>2.0104624238699069E-2</v>
      </c>
      <c r="BY128">
        <v>1.5645839571775028E-2</v>
      </c>
      <c r="BZ128">
        <v>1.223328650049727E-2</v>
      </c>
      <c r="CA128">
        <v>6.9181574986029162E-3</v>
      </c>
      <c r="CB128">
        <v>4.9002489143114463E-3</v>
      </c>
      <c r="CC128" s="86">
        <f t="shared" si="28"/>
        <v>27</v>
      </c>
      <c r="CI128" s="10">
        <f t="shared" si="29"/>
        <v>15.5</v>
      </c>
      <c r="CJ128">
        <v>1.878337312873821E-2</v>
      </c>
      <c r="CK128">
        <v>2.168903209034501E-2</v>
      </c>
      <c r="CL128">
        <v>1.8009072206601071E-2</v>
      </c>
      <c r="CM128">
        <v>1.056508505491888E-2</v>
      </c>
      <c r="CN128">
        <v>8.0953602303497005E-3</v>
      </c>
    </row>
    <row r="129" spans="21:92" x14ac:dyDescent="0.2">
      <c r="U129" s="86">
        <f t="shared" si="18"/>
        <v>28</v>
      </c>
      <c r="AA129" s="10">
        <f t="shared" si="19"/>
        <v>16</v>
      </c>
      <c r="AB129">
        <v>1.4258373233920299E-2</v>
      </c>
      <c r="AC129">
        <v>8.6743160936730256E-3</v>
      </c>
      <c r="AD129">
        <v>7.7347223954309166E-3</v>
      </c>
      <c r="AE129">
        <v>6.3366528680317263E-3</v>
      </c>
      <c r="AF129">
        <v>4.1112530730767821E-3</v>
      </c>
      <c r="AG129" s="86">
        <f t="shared" si="20"/>
        <v>28</v>
      </c>
      <c r="AM129" s="10">
        <f t="shared" si="21"/>
        <v>16</v>
      </c>
      <c r="AN129">
        <v>1.0716556066610421E-2</v>
      </c>
      <c r="AO129">
        <v>7.0711515843858812E-3</v>
      </c>
      <c r="AP129">
        <v>5.5895769417723742E-3</v>
      </c>
      <c r="AQ129">
        <v>6.1937964205204419E-3</v>
      </c>
      <c r="AR129">
        <v>4.360430934956981E-3</v>
      </c>
      <c r="AS129" s="86">
        <f t="shared" si="22"/>
        <v>28</v>
      </c>
      <c r="AY129" s="10">
        <f t="shared" si="23"/>
        <v>16</v>
      </c>
      <c r="AZ129">
        <v>1.1813260852367259E-2</v>
      </c>
      <c r="BA129">
        <v>1.146135409149167E-2</v>
      </c>
      <c r="BB129">
        <v>6.2972931492785668E-3</v>
      </c>
      <c r="BC129">
        <v>5.3934854930330553E-3</v>
      </c>
      <c r="BD129">
        <v>3.6387907265116311E-3</v>
      </c>
      <c r="BE129" s="86">
        <f t="shared" si="24"/>
        <v>28</v>
      </c>
      <c r="BK129" s="10">
        <f t="shared" si="25"/>
        <v>16</v>
      </c>
      <c r="BL129">
        <v>1.6934396784599352E-2</v>
      </c>
      <c r="BM129">
        <v>1.5070146287323029E-2</v>
      </c>
      <c r="BN129">
        <v>9.7512893372146484E-3</v>
      </c>
      <c r="BO129">
        <v>7.4695560947187064E-3</v>
      </c>
      <c r="BP129">
        <v>3.7172906893311319E-3</v>
      </c>
      <c r="BQ129" s="86">
        <f t="shared" si="26"/>
        <v>28</v>
      </c>
      <c r="BW129" s="10">
        <f t="shared" si="27"/>
        <v>16</v>
      </c>
      <c r="BX129">
        <v>1.8747793305804589E-2</v>
      </c>
      <c r="BY129">
        <v>1.4396425063771879E-2</v>
      </c>
      <c r="BZ129">
        <v>1.0271837019736879E-2</v>
      </c>
      <c r="CA129">
        <v>6.0441399591095709E-3</v>
      </c>
      <c r="CB129">
        <v>3.6578123250165608E-3</v>
      </c>
      <c r="CC129" s="86">
        <f t="shared" si="28"/>
        <v>28</v>
      </c>
      <c r="CI129" s="10">
        <f t="shared" si="29"/>
        <v>16</v>
      </c>
      <c r="CJ129">
        <v>1.8232494276149591E-2</v>
      </c>
      <c r="CK129">
        <v>2.1618559037044821E-2</v>
      </c>
      <c r="CL129">
        <v>1.847433306724543E-2</v>
      </c>
      <c r="CM129">
        <v>1.0854204449398171E-2</v>
      </c>
      <c r="CN129">
        <v>6.2024651045006259E-3</v>
      </c>
    </row>
    <row r="130" spans="21:92" x14ac:dyDescent="0.2">
      <c r="U130" s="86">
        <f t="shared" si="18"/>
        <v>29</v>
      </c>
      <c r="AA130" s="10">
        <f t="shared" si="19"/>
        <v>16.5</v>
      </c>
      <c r="AB130">
        <v>1.3038404070553639E-2</v>
      </c>
      <c r="AC130">
        <v>7.1421067012289079E-3</v>
      </c>
      <c r="AD130">
        <v>7.4924051103882408E-3</v>
      </c>
      <c r="AE130">
        <v>5.440977560155295E-3</v>
      </c>
      <c r="AF130">
        <v>4.2442129456377259E-3</v>
      </c>
      <c r="AG130" s="86">
        <f t="shared" si="20"/>
        <v>29</v>
      </c>
      <c r="AM130" s="10">
        <f t="shared" si="21"/>
        <v>16.5</v>
      </c>
      <c r="AN130">
        <v>9.3615695428762163E-3</v>
      </c>
      <c r="AO130">
        <v>6.0898518980203216E-3</v>
      </c>
      <c r="AP130">
        <v>6.8832720436636692E-3</v>
      </c>
      <c r="AQ130">
        <v>4.5886681245419E-3</v>
      </c>
      <c r="AR130">
        <v>4.0447264413196468E-3</v>
      </c>
      <c r="AS130" s="86">
        <f t="shared" si="22"/>
        <v>29</v>
      </c>
      <c r="AY130" s="10">
        <f t="shared" si="23"/>
        <v>16.5</v>
      </c>
      <c r="AZ130">
        <v>1.09976378421229E-2</v>
      </c>
      <c r="BA130">
        <v>9.6605250328140341E-3</v>
      </c>
      <c r="BB130">
        <v>5.12227444293528E-3</v>
      </c>
      <c r="BC130">
        <v>4.2474817348060927E-3</v>
      </c>
      <c r="BD130">
        <v>3.2431532109647109E-3</v>
      </c>
      <c r="BE130" s="86">
        <f t="shared" si="24"/>
        <v>29</v>
      </c>
      <c r="BK130" s="10">
        <f t="shared" si="25"/>
        <v>16.5</v>
      </c>
      <c r="BL130">
        <v>1.567443882800449E-2</v>
      </c>
      <c r="BM130">
        <v>1.342406294480125E-2</v>
      </c>
      <c r="BN130">
        <v>9.1774693222793063E-3</v>
      </c>
      <c r="BO130">
        <v>6.8050016665425301E-3</v>
      </c>
      <c r="BP130">
        <v>3.4213378610286069E-3</v>
      </c>
      <c r="BQ130" s="86">
        <f t="shared" si="26"/>
        <v>29</v>
      </c>
      <c r="BW130" s="10">
        <f t="shared" si="27"/>
        <v>16.5</v>
      </c>
      <c r="BX130">
        <v>1.685890549262874E-2</v>
      </c>
      <c r="BY130">
        <v>1.3284289651429309E-2</v>
      </c>
      <c r="BZ130">
        <v>8.7025840261439977E-3</v>
      </c>
      <c r="CA130">
        <v>5.3675852364790232E-3</v>
      </c>
      <c r="CB130">
        <v>2.6529463915484241E-3</v>
      </c>
      <c r="CC130" s="86">
        <f t="shared" si="28"/>
        <v>29</v>
      </c>
      <c r="CI130" s="10">
        <f t="shared" si="29"/>
        <v>16.5</v>
      </c>
      <c r="CJ130">
        <v>1.812364392138309E-2</v>
      </c>
      <c r="CK130">
        <v>2.1928274107037422E-2</v>
      </c>
      <c r="CL130">
        <v>1.9569996367563E-2</v>
      </c>
      <c r="CM130">
        <v>1.093324132978906E-2</v>
      </c>
      <c r="CN130">
        <v>4.5033236188707169E-3</v>
      </c>
    </row>
    <row r="131" spans="21:92" x14ac:dyDescent="0.2">
      <c r="U131" s="86">
        <f t="shared" si="18"/>
        <v>30</v>
      </c>
      <c r="AA131" s="10">
        <f t="shared" si="19"/>
        <v>17</v>
      </c>
      <c r="AB131">
        <v>1.2105660904455791E-2</v>
      </c>
      <c r="AC131">
        <v>5.9486503420788719E-3</v>
      </c>
      <c r="AD131">
        <v>7.2081900923965199E-3</v>
      </c>
      <c r="AE131">
        <v>4.5996875454914678E-3</v>
      </c>
      <c r="AF131">
        <v>4.2738302448014059E-3</v>
      </c>
      <c r="AG131" s="86">
        <f t="shared" si="20"/>
        <v>30</v>
      </c>
      <c r="AM131" s="10">
        <f t="shared" si="21"/>
        <v>17</v>
      </c>
      <c r="AN131">
        <v>8.4016899600173143E-3</v>
      </c>
      <c r="AO131">
        <v>5.1654657643650081E-3</v>
      </c>
      <c r="AP131">
        <v>6.8483215593760048E-3</v>
      </c>
      <c r="AQ131">
        <v>3.218579170929806E-3</v>
      </c>
      <c r="AR131">
        <v>4.3910726102629437E-3</v>
      </c>
      <c r="AS131" s="86">
        <f t="shared" si="22"/>
        <v>30</v>
      </c>
      <c r="AY131" s="10">
        <f t="shared" si="23"/>
        <v>17</v>
      </c>
      <c r="AZ131">
        <v>1.0935346301210191E-2</v>
      </c>
      <c r="BA131">
        <v>8.4219995379641206E-3</v>
      </c>
      <c r="BB131">
        <v>4.0981096654435101E-3</v>
      </c>
      <c r="BC131">
        <v>3.558255480728635E-3</v>
      </c>
      <c r="BD131">
        <v>2.435859187749875E-3</v>
      </c>
      <c r="BE131" s="86">
        <f t="shared" si="24"/>
        <v>30</v>
      </c>
      <c r="BK131" s="10">
        <f t="shared" si="25"/>
        <v>17</v>
      </c>
      <c r="BL131">
        <v>1.472362213391459E-2</v>
      </c>
      <c r="BM131">
        <v>1.18228559133447E-2</v>
      </c>
      <c r="BN131">
        <v>8.1338242925391522E-3</v>
      </c>
      <c r="BO131">
        <v>6.05308110491208E-3</v>
      </c>
      <c r="BP131">
        <v>2.465538354484311E-3</v>
      </c>
      <c r="BQ131" s="86">
        <f t="shared" si="26"/>
        <v>30</v>
      </c>
      <c r="BW131" s="10">
        <f t="shared" si="27"/>
        <v>17</v>
      </c>
      <c r="BX131">
        <v>1.487739859005454E-2</v>
      </c>
      <c r="BY131">
        <v>1.261961979975207E-2</v>
      </c>
      <c r="BZ131">
        <v>8.0519962752699861E-3</v>
      </c>
      <c r="CA131">
        <v>4.8765074205600811E-3</v>
      </c>
      <c r="CB131">
        <v>1.972032593342788E-3</v>
      </c>
      <c r="CC131" s="86">
        <f t="shared" si="28"/>
        <v>30</v>
      </c>
      <c r="CI131" s="10">
        <f t="shared" si="29"/>
        <v>17</v>
      </c>
      <c r="CJ131">
        <v>1.8519687797074198E-2</v>
      </c>
      <c r="CK131">
        <v>2.2805670513674031E-2</v>
      </c>
      <c r="CL131">
        <v>2.1141329507523648E-2</v>
      </c>
      <c r="CM131">
        <v>1.087332146085661E-2</v>
      </c>
      <c r="CN131">
        <v>3.399466033584154E-3</v>
      </c>
    </row>
    <row r="132" spans="21:92" x14ac:dyDescent="0.2">
      <c r="U132" s="86">
        <f t="shared" si="18"/>
        <v>31</v>
      </c>
      <c r="AA132" s="10">
        <f t="shared" si="19"/>
        <v>17.5</v>
      </c>
      <c r="AB132">
        <v>1.132256764250481E-2</v>
      </c>
      <c r="AC132">
        <v>5.3607365316074894E-3</v>
      </c>
      <c r="AD132">
        <v>6.5227977544773871E-3</v>
      </c>
      <c r="AE132">
        <v>4.0897733226287472E-3</v>
      </c>
      <c r="AF132">
        <v>4.042635958349871E-3</v>
      </c>
      <c r="AG132" s="86">
        <f t="shared" si="20"/>
        <v>31</v>
      </c>
      <c r="AM132" s="10">
        <f t="shared" si="21"/>
        <v>17.5</v>
      </c>
      <c r="AN132">
        <v>7.4410054368442219E-3</v>
      </c>
      <c r="AO132">
        <v>4.5424499522783339E-3</v>
      </c>
      <c r="AP132">
        <v>5.182986404586319E-3</v>
      </c>
      <c r="AQ132">
        <v>2.440357881684084E-3</v>
      </c>
      <c r="AR132">
        <v>4.2240231906952377E-3</v>
      </c>
      <c r="AS132" s="86">
        <f t="shared" si="22"/>
        <v>31</v>
      </c>
      <c r="AY132" s="10">
        <f t="shared" si="23"/>
        <v>17.5</v>
      </c>
      <c r="AZ132">
        <v>1.141003155337438E-2</v>
      </c>
      <c r="BA132">
        <v>7.7293366447155464E-3</v>
      </c>
      <c r="BB132">
        <v>3.6009878544301399E-3</v>
      </c>
      <c r="BC132">
        <v>3.5345911855443439E-3</v>
      </c>
      <c r="BD132">
        <v>1.5912559021142459E-3</v>
      </c>
      <c r="BE132" s="86">
        <f t="shared" si="24"/>
        <v>31</v>
      </c>
      <c r="BK132" s="10">
        <f t="shared" si="25"/>
        <v>17.5</v>
      </c>
      <c r="BL132">
        <v>1.3911620595889769E-2</v>
      </c>
      <c r="BM132">
        <v>1.052193711893713E-2</v>
      </c>
      <c r="BN132">
        <v>7.2234168939113016E-3</v>
      </c>
      <c r="BO132">
        <v>5.4979407646011443E-3</v>
      </c>
      <c r="BP132">
        <v>1.4464304881690549E-3</v>
      </c>
      <c r="BQ132" s="86">
        <f t="shared" si="26"/>
        <v>31</v>
      </c>
      <c r="BW132" s="10">
        <f t="shared" si="27"/>
        <v>17.5</v>
      </c>
      <c r="BX132">
        <v>1.3051799154124849E-2</v>
      </c>
      <c r="BY132">
        <v>1.25259535282268E-2</v>
      </c>
      <c r="BZ132">
        <v>8.1314453795802311E-3</v>
      </c>
      <c r="CA132">
        <v>4.3826999979067437E-3</v>
      </c>
      <c r="CB132">
        <v>1.772386133820707E-3</v>
      </c>
      <c r="CC132" s="86">
        <f t="shared" si="28"/>
        <v>31</v>
      </c>
      <c r="CI132" s="10">
        <f t="shared" si="29"/>
        <v>17.5</v>
      </c>
      <c r="CJ132">
        <v>2.002904326598709E-2</v>
      </c>
      <c r="CK132">
        <v>2.4473982936003249E-2</v>
      </c>
      <c r="CL132">
        <v>2.3638508327451391E-2</v>
      </c>
      <c r="CM132">
        <v>1.0941240845012429E-2</v>
      </c>
      <c r="CN132">
        <v>3.4531068246701291E-3</v>
      </c>
    </row>
    <row r="133" spans="21:92" x14ac:dyDescent="0.2">
      <c r="U133" s="86">
        <f t="shared" si="18"/>
        <v>32</v>
      </c>
      <c r="AA133" s="10">
        <f t="shared" si="19"/>
        <v>18</v>
      </c>
      <c r="AB133">
        <v>1.050969623669221E-2</v>
      </c>
      <c r="AC133">
        <v>4.9682787912495576E-3</v>
      </c>
      <c r="AD133">
        <v>5.4305032031693882E-3</v>
      </c>
      <c r="AE133">
        <v>3.8993823173632531E-3</v>
      </c>
      <c r="AF133">
        <v>3.6743225908938029E-3</v>
      </c>
      <c r="AG133" s="86">
        <f t="shared" si="20"/>
        <v>32</v>
      </c>
      <c r="AM133" s="10">
        <f t="shared" si="21"/>
        <v>18</v>
      </c>
      <c r="AN133">
        <v>6.4375161292182974E-3</v>
      </c>
      <c r="AO133">
        <v>4.2595642263496417E-3</v>
      </c>
      <c r="AP133">
        <v>3.3218755440255331E-3</v>
      </c>
      <c r="AQ133">
        <v>2.2898962381330389E-3</v>
      </c>
      <c r="AR133">
        <v>2.4098132070917619E-3</v>
      </c>
      <c r="AS133" s="86">
        <f t="shared" si="22"/>
        <v>32</v>
      </c>
      <c r="AY133" s="10">
        <f t="shared" si="23"/>
        <v>18</v>
      </c>
      <c r="AZ133">
        <v>1.262075558363558E-2</v>
      </c>
      <c r="BA133">
        <v>7.9096147973407253E-3</v>
      </c>
      <c r="BB133">
        <v>3.9300507124569251E-3</v>
      </c>
      <c r="BC133">
        <v>3.7496378889862601E-3</v>
      </c>
      <c r="BD133">
        <v>1.091827255672372E-3</v>
      </c>
      <c r="BE133" s="86">
        <f t="shared" si="24"/>
        <v>32</v>
      </c>
      <c r="BK133" s="10">
        <f t="shared" si="25"/>
        <v>18</v>
      </c>
      <c r="BL133">
        <v>1.325647914758314E-2</v>
      </c>
      <c r="BM133">
        <v>9.8057389396697548E-3</v>
      </c>
      <c r="BN133">
        <v>6.6044588202694909E-3</v>
      </c>
      <c r="BO133">
        <v>5.2167964486522448E-3</v>
      </c>
      <c r="BP133">
        <v>7.5168015311196691E-4</v>
      </c>
      <c r="BQ133" s="86">
        <f t="shared" si="26"/>
        <v>32</v>
      </c>
      <c r="BW133" s="10">
        <f t="shared" si="27"/>
        <v>18</v>
      </c>
      <c r="BX133">
        <v>1.1690203169797979E-2</v>
      </c>
      <c r="BY133">
        <v>1.3134829584181129E-2</v>
      </c>
      <c r="BZ133">
        <v>9.2471204386577622E-3</v>
      </c>
      <c r="CA133">
        <v>3.8764442979650629E-3</v>
      </c>
      <c r="CB133">
        <v>1.9627953345266089E-3</v>
      </c>
      <c r="CC133" s="86">
        <f t="shared" si="28"/>
        <v>32</v>
      </c>
      <c r="CI133" s="10">
        <f t="shared" si="29"/>
        <v>18</v>
      </c>
      <c r="CJ133">
        <v>2.1914833055235759E-2</v>
      </c>
      <c r="CK133">
        <v>2.6485009022858691E-2</v>
      </c>
      <c r="CL133">
        <v>2.632516200821788E-2</v>
      </c>
      <c r="CM133">
        <v>1.1101215133001611E-2</v>
      </c>
      <c r="CN133">
        <v>4.2809548373894026E-3</v>
      </c>
    </row>
    <row r="134" spans="21:92" x14ac:dyDescent="0.2">
      <c r="U134" s="86">
        <f t="shared" si="18"/>
        <v>33</v>
      </c>
      <c r="AA134" s="10">
        <f t="shared" si="19"/>
        <v>18.5</v>
      </c>
      <c r="AB134">
        <v>9.6823699532071206E-3</v>
      </c>
      <c r="AC134">
        <v>4.8235630155806456E-3</v>
      </c>
      <c r="AD134">
        <v>4.1807624971136794E-3</v>
      </c>
      <c r="AE134">
        <v>4.1575951417668396E-3</v>
      </c>
      <c r="AF134">
        <v>3.2247211076439561E-3</v>
      </c>
      <c r="AG134" s="86">
        <f t="shared" si="20"/>
        <v>33</v>
      </c>
      <c r="AM134" s="10">
        <f t="shared" si="21"/>
        <v>18.5</v>
      </c>
      <c r="AN134">
        <v>5.5124113448476071E-3</v>
      </c>
      <c r="AO134">
        <v>4.3342158629613922E-3</v>
      </c>
      <c r="AP134">
        <v>1.91065284325536E-3</v>
      </c>
      <c r="AQ134">
        <v>2.6367022769347641E-3</v>
      </c>
      <c r="AR134">
        <v>1.063666800359736E-3</v>
      </c>
      <c r="AS134" s="86">
        <f t="shared" si="22"/>
        <v>33</v>
      </c>
      <c r="AY134" s="10">
        <f t="shared" si="23"/>
        <v>18.5</v>
      </c>
      <c r="AZ134">
        <v>1.462296899470495E-2</v>
      </c>
      <c r="BA134">
        <v>9.0390551005990125E-3</v>
      </c>
      <c r="BB134">
        <v>5.1790318645851896E-3</v>
      </c>
      <c r="BC134">
        <v>4.3206053098723083E-3</v>
      </c>
      <c r="BD134">
        <v>1.338450797255989E-3</v>
      </c>
      <c r="BE134" s="86">
        <f t="shared" si="24"/>
        <v>33</v>
      </c>
      <c r="BK134" s="10">
        <f t="shared" si="25"/>
        <v>18.5</v>
      </c>
      <c r="BL134">
        <v>1.28372956778669E-2</v>
      </c>
      <c r="BM134">
        <v>9.9961014786397254E-3</v>
      </c>
      <c r="BN134">
        <v>6.5325559180728588E-3</v>
      </c>
      <c r="BO134">
        <v>5.3410820108078204E-3</v>
      </c>
      <c r="BP134">
        <v>5.4373741518211642E-4</v>
      </c>
      <c r="BQ134" s="86">
        <f t="shared" si="26"/>
        <v>33</v>
      </c>
      <c r="BW134" s="10">
        <f t="shared" si="27"/>
        <v>18.5</v>
      </c>
      <c r="BX134">
        <v>1.0901434457069601E-2</v>
      </c>
      <c r="BY134">
        <v>1.432214799564565E-2</v>
      </c>
      <c r="BZ134">
        <v>1.1208587040377419E-2</v>
      </c>
      <c r="CA134">
        <v>3.388499546055235E-3</v>
      </c>
      <c r="CB134">
        <v>2.460778038310144E-3</v>
      </c>
      <c r="CC134" s="86">
        <f t="shared" si="28"/>
        <v>33</v>
      </c>
      <c r="CI134" s="10">
        <f t="shared" si="29"/>
        <v>18.5</v>
      </c>
      <c r="CJ134">
        <v>2.4513310543361599E-2</v>
      </c>
      <c r="CK134">
        <v>2.9089123720720561E-2</v>
      </c>
      <c r="CL134">
        <v>2.9321346794461429E-2</v>
      </c>
      <c r="CM134">
        <v>1.146103408155842E-2</v>
      </c>
      <c r="CN134">
        <v>5.9617512630371454E-3</v>
      </c>
    </row>
    <row r="135" spans="21:92" x14ac:dyDescent="0.2">
      <c r="U135" s="86">
        <f t="shared" si="18"/>
        <v>34</v>
      </c>
      <c r="AA135" s="10">
        <f t="shared" si="19"/>
        <v>19</v>
      </c>
      <c r="AB135">
        <v>8.8796054783912143E-3</v>
      </c>
      <c r="AC135">
        <v>4.6760237160909882E-3</v>
      </c>
      <c r="AD135">
        <v>2.9305455110751211E-3</v>
      </c>
      <c r="AE135">
        <v>4.7123141857793836E-3</v>
      </c>
      <c r="AF135">
        <v>2.7205335951425622E-3</v>
      </c>
      <c r="AG135" s="86">
        <f t="shared" si="20"/>
        <v>34</v>
      </c>
      <c r="AM135" s="10">
        <f t="shared" si="21"/>
        <v>19</v>
      </c>
      <c r="AN135">
        <v>4.7541840025575452E-3</v>
      </c>
      <c r="AO135">
        <v>4.6284263016071218E-3</v>
      </c>
      <c r="AP135">
        <v>1.529451060761425E-3</v>
      </c>
      <c r="AQ135">
        <v>3.3598573595725852E-3</v>
      </c>
      <c r="AR135">
        <v>6.3656972833278766E-4</v>
      </c>
      <c r="AS135" s="86">
        <f t="shared" si="22"/>
        <v>34</v>
      </c>
      <c r="AY135" s="10">
        <f t="shared" si="23"/>
        <v>19</v>
      </c>
      <c r="AZ135">
        <v>1.6674919610168738E-2</v>
      </c>
      <c r="BA135">
        <v>1.038537610561556E-2</v>
      </c>
      <c r="BB135">
        <v>7.4712822619519021E-3</v>
      </c>
      <c r="BC135">
        <v>4.9132659353964001E-3</v>
      </c>
      <c r="BD135">
        <v>2.5105995609823279E-3</v>
      </c>
      <c r="BE135" s="86">
        <f t="shared" si="24"/>
        <v>34</v>
      </c>
      <c r="BK135" s="10">
        <f t="shared" si="25"/>
        <v>19</v>
      </c>
      <c r="BL135">
        <v>1.2539197587172269E-2</v>
      </c>
      <c r="BM135">
        <v>1.055974575887058E-2</v>
      </c>
      <c r="BN135">
        <v>6.8954956646955284E-3</v>
      </c>
      <c r="BO135">
        <v>5.7997787215721434E-3</v>
      </c>
      <c r="BP135">
        <v>1.117506880845192E-3</v>
      </c>
      <c r="BQ135" s="86">
        <f t="shared" si="26"/>
        <v>34</v>
      </c>
      <c r="BW135" s="10">
        <f t="shared" si="27"/>
        <v>19</v>
      </c>
      <c r="BX135">
        <v>1.052405698035358E-2</v>
      </c>
      <c r="BY135">
        <v>1.5732341011411809E-2</v>
      </c>
      <c r="BZ135">
        <v>1.329471459502069E-2</v>
      </c>
      <c r="CA135">
        <v>3.0364912107164058E-3</v>
      </c>
      <c r="CB135">
        <v>3.1467430206613988E-3</v>
      </c>
      <c r="CC135" s="86">
        <f t="shared" si="28"/>
        <v>34</v>
      </c>
      <c r="CI135" s="10">
        <f t="shared" si="29"/>
        <v>19</v>
      </c>
      <c r="CJ135">
        <v>2.679914879646525E-2</v>
      </c>
      <c r="CK135">
        <v>3.1304037947434908E-2</v>
      </c>
      <c r="CL135">
        <v>3.1817535336774547E-2</v>
      </c>
      <c r="CM135">
        <v>1.2037273989408679E-2</v>
      </c>
      <c r="CN135">
        <v>8.0731060850293065E-3</v>
      </c>
    </row>
    <row r="136" spans="21:92" x14ac:dyDescent="0.2">
      <c r="U136" s="86">
        <f t="shared" si="18"/>
        <v>35</v>
      </c>
      <c r="AA136" s="10">
        <f t="shared" si="19"/>
        <v>19.5</v>
      </c>
      <c r="AB136">
        <v>8.3152340637417908E-3</v>
      </c>
      <c r="AC136">
        <v>4.551083402033679E-3</v>
      </c>
      <c r="AD136">
        <v>2.105527497474577E-3</v>
      </c>
      <c r="AE136">
        <v>5.1960157597275214E-3</v>
      </c>
      <c r="AF136">
        <v>2.205078838767487E-3</v>
      </c>
      <c r="AG136" s="86">
        <f t="shared" si="20"/>
        <v>35</v>
      </c>
      <c r="AM136" s="10">
        <f t="shared" si="21"/>
        <v>19.5</v>
      </c>
      <c r="AN136">
        <v>4.2679674295749738E-3</v>
      </c>
      <c r="AO136">
        <v>4.9460683272953519E-3</v>
      </c>
      <c r="AP136">
        <v>2.0843981985485842E-3</v>
      </c>
      <c r="AQ136">
        <v>4.0561637361676648E-3</v>
      </c>
      <c r="AR136">
        <v>9.956133637987329E-4</v>
      </c>
      <c r="AS136" s="86">
        <f t="shared" si="22"/>
        <v>35</v>
      </c>
      <c r="AY136" s="10">
        <f t="shared" si="23"/>
        <v>19.5</v>
      </c>
      <c r="AZ136">
        <v>1.8433506129168321E-2</v>
      </c>
      <c r="BA136">
        <v>1.1687179254875391E-2</v>
      </c>
      <c r="BB136">
        <v>9.7495439635526017E-3</v>
      </c>
      <c r="BC136">
        <v>5.3660789336824333E-3</v>
      </c>
      <c r="BD136">
        <v>3.957398962086715E-3</v>
      </c>
      <c r="BE136" s="86">
        <f t="shared" si="24"/>
        <v>35</v>
      </c>
      <c r="BK136" s="10">
        <f t="shared" si="25"/>
        <v>19.5</v>
      </c>
      <c r="BL136">
        <v>1.241578487951925E-2</v>
      </c>
      <c r="BM136">
        <v>1.129054636630109E-2</v>
      </c>
      <c r="BN136">
        <v>7.2962126292368777E-3</v>
      </c>
      <c r="BO136">
        <v>6.1892616432232478E-3</v>
      </c>
      <c r="BP136">
        <v>2.1516625265942881E-3</v>
      </c>
      <c r="BQ136" s="86">
        <f t="shared" si="26"/>
        <v>35</v>
      </c>
      <c r="BW136" s="10">
        <f t="shared" si="27"/>
        <v>19.5</v>
      </c>
      <c r="BX136">
        <v>1.0515638738788999E-2</v>
      </c>
      <c r="BY136">
        <v>1.681890803087956E-2</v>
      </c>
      <c r="BZ136">
        <v>1.503231539053209E-2</v>
      </c>
      <c r="CA136">
        <v>2.819300248497135E-3</v>
      </c>
      <c r="CB136">
        <v>3.8065090715255351E-3</v>
      </c>
      <c r="CC136" s="86">
        <f t="shared" si="28"/>
        <v>35</v>
      </c>
      <c r="CI136" s="10">
        <f t="shared" si="29"/>
        <v>19.5</v>
      </c>
      <c r="CJ136">
        <v>2.8782373555980099E-2</v>
      </c>
      <c r="CK136">
        <v>3.3211004348929492E-2</v>
      </c>
      <c r="CL136">
        <v>3.388214956577848E-2</v>
      </c>
      <c r="CM136">
        <v>1.243190001045787E-2</v>
      </c>
      <c r="CN136">
        <v>9.7041524205826353E-3</v>
      </c>
    </row>
    <row r="137" spans="21:92" x14ac:dyDescent="0.2">
      <c r="U137" s="86">
        <f t="shared" si="18"/>
        <v>36</v>
      </c>
      <c r="AA137" s="10">
        <f t="shared" si="19"/>
        <v>20</v>
      </c>
      <c r="AB137">
        <v>8.0357318024330705E-3</v>
      </c>
      <c r="AC137">
        <v>4.5197411101620382E-3</v>
      </c>
      <c r="AD137">
        <v>1.491886068922427E-3</v>
      </c>
      <c r="AE137">
        <v>5.4540771692092316E-3</v>
      </c>
      <c r="AF137">
        <v>1.6978458616815201E-3</v>
      </c>
      <c r="AG137" s="86">
        <f t="shared" si="20"/>
        <v>36</v>
      </c>
      <c r="AM137" s="10">
        <f t="shared" si="21"/>
        <v>20</v>
      </c>
      <c r="AN137">
        <v>4.0888483848342521E-3</v>
      </c>
      <c r="AO137">
        <v>5.0753593507478672E-3</v>
      </c>
      <c r="AP137">
        <v>2.427981786389389E-3</v>
      </c>
      <c r="AQ137">
        <v>4.2960669136087298E-3</v>
      </c>
      <c r="AR137">
        <v>1.43676981251363E-3</v>
      </c>
      <c r="AS137" s="86">
        <f t="shared" si="22"/>
        <v>36</v>
      </c>
      <c r="AY137" s="10">
        <f t="shared" si="23"/>
        <v>20</v>
      </c>
      <c r="AZ137">
        <v>1.88608483238791E-2</v>
      </c>
      <c r="BA137">
        <v>1.200649283776156E-2</v>
      </c>
      <c r="BB137">
        <v>1.083194845753532E-2</v>
      </c>
      <c r="BC137">
        <v>5.5867883421651032E-3</v>
      </c>
      <c r="BD137">
        <v>4.6433612586401557E-3</v>
      </c>
      <c r="BE137" s="86">
        <f t="shared" si="24"/>
        <v>36</v>
      </c>
      <c r="BK137" s="10">
        <f t="shared" si="25"/>
        <v>20</v>
      </c>
      <c r="BL137">
        <v>1.2387359674424879E-2</v>
      </c>
      <c r="BM137">
        <v>1.151350336969686E-2</v>
      </c>
      <c r="BN137">
        <v>7.5265029216603383E-3</v>
      </c>
      <c r="BO137">
        <v>6.4441826804695649E-3</v>
      </c>
      <c r="BP137">
        <v>2.577851429794299E-3</v>
      </c>
      <c r="BQ137" s="86">
        <f t="shared" si="26"/>
        <v>36</v>
      </c>
      <c r="BW137" s="10">
        <f t="shared" si="27"/>
        <v>20</v>
      </c>
      <c r="BX137">
        <v>1.051704552919867E-2</v>
      </c>
      <c r="BY137">
        <v>1.7199662799749271E-2</v>
      </c>
      <c r="BZ137">
        <v>1.547823910619802E-2</v>
      </c>
      <c r="CA137">
        <v>2.7275824704241359E-3</v>
      </c>
      <c r="CB137">
        <v>4.0093156887595106E-3</v>
      </c>
      <c r="CC137" s="86">
        <f t="shared" si="28"/>
        <v>36</v>
      </c>
      <c r="CI137" s="10">
        <f t="shared" si="29"/>
        <v>20</v>
      </c>
      <c r="CJ137">
        <v>2.910841224257572E-2</v>
      </c>
      <c r="CK137">
        <v>3.3545486267626712E-2</v>
      </c>
      <c r="CL137">
        <v>3.4204850951386333E-2</v>
      </c>
      <c r="CM137">
        <v>1.266070451734747E-2</v>
      </c>
      <c r="CN137">
        <v>1.063948464590888E-2</v>
      </c>
    </row>
    <row r="139" spans="21:92" x14ac:dyDescent="0.2">
      <c r="U139" s="11" t="s">
        <v>202</v>
      </c>
      <c r="V139" s="12"/>
      <c r="W139" s="12"/>
      <c r="X139" s="90"/>
      <c r="Y139" s="90" t="s">
        <v>206</v>
      </c>
      <c r="Z139" s="12">
        <v>1</v>
      </c>
      <c r="AA139" s="12"/>
      <c r="AB139" s="12"/>
      <c r="AC139" s="11"/>
      <c r="AD139" s="12"/>
      <c r="AE139" s="12"/>
      <c r="AF139" s="12"/>
      <c r="AG139" s="12"/>
      <c r="AH139" s="12"/>
      <c r="AI139" s="11"/>
      <c r="AJ139" s="12"/>
      <c r="AK139" s="12"/>
      <c r="AL139" s="12"/>
      <c r="AM139" s="12"/>
      <c r="AN139" s="34"/>
      <c r="AO139" s="34"/>
      <c r="AP139" s="34"/>
      <c r="AQ139" s="34"/>
      <c r="AR139" s="34"/>
    </row>
    <row r="140" spans="21:92" x14ac:dyDescent="0.2">
      <c r="U140" s="11" t="s">
        <v>13</v>
      </c>
      <c r="V140" s="12">
        <f>D9</f>
        <v>0</v>
      </c>
      <c r="W140" s="12"/>
      <c r="X140" s="12"/>
      <c r="Y140" s="12"/>
      <c r="Z140" s="12"/>
      <c r="AA140" s="12"/>
      <c r="AB140" s="12"/>
      <c r="AC140" s="11"/>
      <c r="AD140" s="12"/>
      <c r="AE140" s="12"/>
      <c r="AF140" s="12"/>
      <c r="AG140" s="12"/>
      <c r="AH140" s="12"/>
      <c r="AI140" s="11"/>
      <c r="AJ140" s="12"/>
      <c r="AK140" s="12"/>
      <c r="AL140" s="12"/>
      <c r="AM140" s="12"/>
      <c r="AN140" s="34"/>
      <c r="AO140" s="34"/>
      <c r="AP140" s="34"/>
      <c r="AQ140" s="34"/>
      <c r="AR140" s="34"/>
    </row>
    <row r="141" spans="21:92" x14ac:dyDescent="0.2">
      <c r="U141" s="11" t="s">
        <v>8</v>
      </c>
      <c r="V141" s="12" t="e">
        <f>IF($V$140=0,V144,V184)</f>
        <v>#N/A</v>
      </c>
      <c r="W141" s="12" t="e">
        <f t="shared" ref="W141:Z141" si="30">IF($V$140=0,W144,W184)</f>
        <v>#N/A</v>
      </c>
      <c r="X141" s="12" t="e">
        <f t="shared" si="30"/>
        <v>#N/A</v>
      </c>
      <c r="Y141" s="12" t="e">
        <f t="shared" si="30"/>
        <v>#N/A</v>
      </c>
      <c r="Z141" s="12" t="e">
        <f t="shared" si="30"/>
        <v>#N/A</v>
      </c>
      <c r="AA141" s="12"/>
      <c r="AB141" s="12"/>
      <c r="AC141" s="11"/>
      <c r="AD141" s="12"/>
      <c r="AE141" s="12"/>
      <c r="AF141" s="12"/>
      <c r="AG141" s="12"/>
      <c r="AH141" s="12"/>
      <c r="AI141" s="11"/>
      <c r="AJ141" s="12"/>
      <c r="AK141" s="12"/>
      <c r="AL141" s="12"/>
      <c r="AM141" s="12"/>
      <c r="AN141" s="34"/>
      <c r="AO141" s="34"/>
      <c r="AP141" s="34"/>
      <c r="AQ141" s="34"/>
      <c r="AR141" s="34"/>
    </row>
    <row r="142" spans="21:92" x14ac:dyDescent="0.2">
      <c r="U142" s="11" t="s">
        <v>191</v>
      </c>
      <c r="V142" s="12">
        <v>0</v>
      </c>
      <c r="W142" s="12"/>
      <c r="X142" s="12"/>
      <c r="Y142" s="12"/>
      <c r="Z142" s="12"/>
      <c r="AA142" s="12"/>
      <c r="AB142" s="12"/>
      <c r="AC142" s="11"/>
      <c r="AD142" s="12"/>
      <c r="AE142" s="12"/>
      <c r="AF142" s="12"/>
      <c r="AG142" s="12"/>
      <c r="AH142" s="12"/>
      <c r="AI142" s="11"/>
      <c r="AJ142" s="12"/>
      <c r="AK142" s="12"/>
      <c r="AL142" s="12"/>
      <c r="AM142" s="12"/>
      <c r="AN142" s="34"/>
      <c r="AO142" s="34"/>
      <c r="AP142" s="34"/>
      <c r="AQ142" s="34"/>
      <c r="AR142" s="34"/>
    </row>
    <row r="143" spans="21:92" x14ac:dyDescent="0.2">
      <c r="U143" s="4" t="s">
        <v>155</v>
      </c>
      <c r="V143" s="8" t="str">
        <f>$C$10</f>
        <v/>
      </c>
      <c r="W143" t="s">
        <v>156</v>
      </c>
      <c r="X143" t="e" cm="1">
        <f t="array" ref="X143">_xlfn.IFS(ISBLANK(V143),"",AND(V143&gt;=20,V143&lt;30),0,AND(V143&gt;=30,V143&lt;40),1,AND(V143&gt;=40,V143&lt;50),2,AND(V143&gt;=50,V143&lt;60),3,AND(V143&gt;=60,V143&lt;70),4,AND(V143&gt;=70,V143&lt;80),5)</f>
        <v>#N/A</v>
      </c>
      <c r="Y143" s="4"/>
      <c r="AN143" s="64"/>
      <c r="AO143" s="64"/>
      <c r="AP143" s="64"/>
      <c r="AQ143" s="64"/>
      <c r="AR143" s="64"/>
    </row>
    <row r="144" spans="21:92" x14ac:dyDescent="0.2">
      <c r="U144" s="4" t="s">
        <v>8</v>
      </c>
      <c r="V144" t="e" cm="1">
        <f t="array" ref="V144">_xlfn.IFS($X$100=$W$102,V146,$X$100=$AI$102,AH146,$X$100=$AU$102,AT146,$X$100=$BG$102,BF146,$X$100=$BS$102,BR146,$X$100=$CE$102,CD146)</f>
        <v>#N/A</v>
      </c>
      <c r="W144" t="e" cm="1">
        <f t="array" ref="W144">_xlfn.IFS($X$100=$W$102,W146,$X$100=$AI$102,AI146,$X$100=$AU$102,AU146,$X$100=$BG$102,BG146,$X$100=$BS$102,BS146,$X$100=$CE$102,CE146)</f>
        <v>#N/A</v>
      </c>
      <c r="X144" t="e" cm="1">
        <f t="array" ref="X144">_xlfn.IFS($X$100=$W$102,X146,$X$100=$AI$102,AJ146,$X$100=$AU$102,AV146,$X$100=$BG$102,BH146,$X$100=$BS$102,BT146,$X$100=$CE$102,CF146)</f>
        <v>#N/A</v>
      </c>
      <c r="Y144" t="e" cm="1">
        <f t="array" ref="Y144">_xlfn.IFS($X$100=$W$102,Y146,$X$100=$AI$102,AK146,$X$100=$AU$102,AW146,$X$100=$BG$102,BI146,$X$100=$BS$102,BU146,$X$100=$CE$102,CG146)</f>
        <v>#N/A</v>
      </c>
      <c r="Z144" t="e" cm="1">
        <f t="array" ref="Z144">_xlfn.IFS($X$100=$W$102,Z146,$X$100=$AI$102,AL146,$X$100=$AU$102,AX146,$X$100=$BG$102,BJ146,$X$100=$BS$102,BV146,$X$100=$CE$102,CH146)</f>
        <v>#N/A</v>
      </c>
    </row>
    <row r="145" spans="21:92" x14ac:dyDescent="0.2">
      <c r="U145" s="20" t="s">
        <v>196</v>
      </c>
      <c r="V145" s="4" t="s">
        <v>156</v>
      </c>
      <c r="W145">
        <v>0</v>
      </c>
      <c r="AA145" s="20" t="s">
        <v>193</v>
      </c>
      <c r="AG145" s="20" t="s">
        <v>197</v>
      </c>
      <c r="AH145" s="4" t="s">
        <v>156</v>
      </c>
      <c r="AI145">
        <v>1</v>
      </c>
      <c r="AM145" s="20" t="s">
        <v>193</v>
      </c>
      <c r="AS145" s="20" t="s">
        <v>198</v>
      </c>
      <c r="AT145" s="4" t="s">
        <v>156</v>
      </c>
      <c r="AU145">
        <v>2</v>
      </c>
      <c r="AY145" s="20" t="s">
        <v>193</v>
      </c>
      <c r="BE145" s="20" t="s">
        <v>201</v>
      </c>
      <c r="BF145" s="4" t="s">
        <v>203</v>
      </c>
      <c r="BG145">
        <v>3</v>
      </c>
      <c r="BK145" s="20" t="s">
        <v>193</v>
      </c>
      <c r="BQ145" s="20" t="s">
        <v>200</v>
      </c>
      <c r="BR145" s="4" t="s">
        <v>204</v>
      </c>
      <c r="BS145">
        <v>4</v>
      </c>
      <c r="BW145" s="20" t="s">
        <v>193</v>
      </c>
      <c r="CC145" s="20" t="s">
        <v>199</v>
      </c>
      <c r="CD145" s="4" t="s">
        <v>205</v>
      </c>
      <c r="CE145">
        <v>5</v>
      </c>
      <c r="CI145" s="20" t="s">
        <v>193</v>
      </c>
    </row>
    <row r="146" spans="21:92" x14ac:dyDescent="0.2">
      <c r="U146" s="4" t="s">
        <v>8</v>
      </c>
      <c r="V146" s="89" t="str">
        <f>IFERROR(VLOOKUP($V$4,U148:Z180,$V$5,FALSE)*100,"")</f>
        <v/>
      </c>
      <c r="W146" s="89" t="str">
        <f>IFERROR(VLOOKUP($W$4,U148:Z180,$W$5,FALSE)*100,"")</f>
        <v/>
      </c>
      <c r="X146" s="89" t="str">
        <f>IFERROR(VLOOKUP($X$4,U148:Z180,$X$5,FALSE)*100,"")</f>
        <v/>
      </c>
      <c r="Y146" s="89" t="str">
        <f>IFERROR(VLOOKUP($Y$4,U148:Z180,$Y$5,FALSE)*100,"")</f>
        <v/>
      </c>
      <c r="Z146" s="89" t="str">
        <f>IFERROR(VLOOKUP($Z$4,U148:Z180,$Z$5,FALSE)*100,"")</f>
        <v/>
      </c>
      <c r="AA146" s="20"/>
      <c r="AB146" s="89"/>
      <c r="AC146" s="89"/>
      <c r="AD146" s="89"/>
      <c r="AE146" s="89"/>
      <c r="AF146" s="89"/>
      <c r="AG146" s="20"/>
      <c r="AH146" s="89" t="str">
        <f>IFERROR(VLOOKUP($V$4,AG148:AL180,$V$5,FALSE)*100,"")</f>
        <v/>
      </c>
      <c r="AI146" s="89" t="str">
        <f>IFERROR(VLOOKUP($W$4,AG148:AL180,$W$5,FALSE)*100,"")</f>
        <v/>
      </c>
      <c r="AJ146" s="89" t="str">
        <f>IFERROR(VLOOKUP($X$4,AG148:AL180,$X$5,FALSE)*100,"")</f>
        <v/>
      </c>
      <c r="AK146" s="89" t="str">
        <f>IFERROR(VLOOKUP($Y$4,AG148:AL180,$Y$5,FALSE)*100,"")</f>
        <v/>
      </c>
      <c r="AL146" s="89" t="str">
        <f>IFERROR(VLOOKUP($Z$4,AG148:AL180,$Z$5,FALSE)*100,"")</f>
        <v/>
      </c>
      <c r="AM146" s="20"/>
      <c r="AS146" s="20"/>
      <c r="AT146" s="89" t="str">
        <f>IFERROR(VLOOKUP($V$4,AS148:AX180,$V$5,FALSE)*100,"")</f>
        <v/>
      </c>
      <c r="AU146" s="89" t="str">
        <f>IFERROR(VLOOKUP($W$4,AS148:AX180,$W$5,FALSE)*100,"")</f>
        <v/>
      </c>
      <c r="AV146" s="89" t="str">
        <f>IFERROR(VLOOKUP($X$4,AS148:AX180,$X$5,FALSE)*100,"")</f>
        <v/>
      </c>
      <c r="AW146" s="89" t="str">
        <f>IFERROR(VLOOKUP($Y$4,AS148:AX180,$Y$5,FALSE)*100,"")</f>
        <v/>
      </c>
      <c r="AX146" s="89" t="str">
        <f>IFERROR(VLOOKUP($Z$4,AS148:AX180,$Z$5,FALSE)*100,"")</f>
        <v/>
      </c>
      <c r="AY146" s="20"/>
      <c r="BE146" s="20"/>
      <c r="BF146" s="89" t="str">
        <f>IFERROR(VLOOKUP($V$4,BE148:BJ180,$V$5,FALSE)*100,"")</f>
        <v/>
      </c>
      <c r="BG146" s="89" t="str">
        <f>IFERROR(VLOOKUP($W$4,BE148:BJ180,$W$5,FALSE)*100,"")</f>
        <v/>
      </c>
      <c r="BH146" s="89" t="str">
        <f>IFERROR(VLOOKUP($X$4,BE148:BJ180,$X$5,FALSE)*100,"")</f>
        <v/>
      </c>
      <c r="BI146" s="89" t="str">
        <f>IFERROR(VLOOKUP($Y$4,BE148:BJ180,$Y$5,FALSE)*100,"")</f>
        <v/>
      </c>
      <c r="BJ146" s="89" t="str">
        <f>IFERROR(VLOOKUP($Z$4,BE148:BJ180,$Z$5,FALSE)*100,"")</f>
        <v/>
      </c>
      <c r="BK146" s="20"/>
      <c r="BQ146" s="20"/>
      <c r="BR146" s="89" t="str">
        <f>IFERROR(VLOOKUP($V$4,BQ148:BV180,$V$5,FALSE)*100,"")</f>
        <v/>
      </c>
      <c r="BS146" s="89" t="str">
        <f>IFERROR(VLOOKUP($W$4,BQ148:BV180,$W$5,FALSE)*100,"")</f>
        <v/>
      </c>
      <c r="BT146" s="89" t="str">
        <f>IFERROR(VLOOKUP($X$4,BQ148:BV180,$X$5,FALSE)*100,"")</f>
        <v/>
      </c>
      <c r="BU146" s="89" t="str">
        <f>IFERROR(VLOOKUP($Y$4,BQ148:BV180,$Y$5,FALSE)*100,"")</f>
        <v/>
      </c>
      <c r="BV146" s="89" t="str">
        <f>IFERROR(VLOOKUP($Z$4,BQ148:BV180,$Z$5,FALSE)*100,"")</f>
        <v/>
      </c>
      <c r="BW146" s="20"/>
      <c r="CC146" s="20"/>
      <c r="CD146" s="89" t="str">
        <f>IFERROR(VLOOKUP($V$4,CC148:CH180,$V$5,FALSE)*100,"")</f>
        <v/>
      </c>
      <c r="CE146" s="89" t="str">
        <f>IFERROR(VLOOKUP($W$4,CC148:CH180,$W$5,FALSE)*100,"")</f>
        <v/>
      </c>
      <c r="CF146" s="89" t="str">
        <f>IFERROR(VLOOKUP($X$4,CC148:CH180,$X$5,FALSE)*100,"")</f>
        <v/>
      </c>
      <c r="CG146" s="89" t="str">
        <f>IFERROR(VLOOKUP($Y$4,CC148:CH180,$Y$5,FALSE)*100,"")</f>
        <v/>
      </c>
      <c r="CH146" s="89" t="str">
        <f>IFERROR(VLOOKUP($Z$4,CC148:CH180,$Z$5,FALSE)*100,"")</f>
        <v/>
      </c>
      <c r="CI146" s="20"/>
    </row>
    <row r="147" spans="21:92" x14ac:dyDescent="0.2">
      <c r="U147" t="s">
        <v>189</v>
      </c>
      <c r="V147" s="14" t="str">
        <f>master!$E$3</f>
        <v>General</v>
      </c>
      <c r="W147" s="14" t="str">
        <f>master!$E$4</f>
        <v>Physical</v>
      </c>
      <c r="X147" s="14" t="str">
        <f>master!$E$5</f>
        <v>Activity</v>
      </c>
      <c r="Y147" s="14" t="str">
        <f>master!$E$6</f>
        <v>Mental</v>
      </c>
      <c r="Z147" s="25" t="str">
        <f>master!$E$7</f>
        <v>Motivation</v>
      </c>
      <c r="AA147" t="s">
        <v>189</v>
      </c>
      <c r="AB147" s="14" t="str">
        <f>master!$E$3</f>
        <v>General</v>
      </c>
      <c r="AC147" s="14" t="str">
        <f>master!$E$4</f>
        <v>Physical</v>
      </c>
      <c r="AD147" s="14" t="str">
        <f>master!$E$5</f>
        <v>Activity</v>
      </c>
      <c r="AE147" s="14" t="str">
        <f>master!$E$6</f>
        <v>Mental</v>
      </c>
      <c r="AF147" s="25" t="str">
        <f>master!$E$7</f>
        <v>Motivation</v>
      </c>
      <c r="AG147" t="s">
        <v>189</v>
      </c>
      <c r="AH147" s="14" t="str">
        <f>master!$E$3</f>
        <v>General</v>
      </c>
      <c r="AI147" s="14" t="str">
        <f>master!$E$4</f>
        <v>Physical</v>
      </c>
      <c r="AJ147" s="14" t="str">
        <f>master!$E$5</f>
        <v>Activity</v>
      </c>
      <c r="AK147" s="14" t="str">
        <f>master!$E$6</f>
        <v>Mental</v>
      </c>
      <c r="AL147" s="25" t="str">
        <f>master!$E$7</f>
        <v>Motivation</v>
      </c>
      <c r="AM147" t="s">
        <v>189</v>
      </c>
      <c r="AN147" s="14" t="str">
        <f>master!$E$3</f>
        <v>General</v>
      </c>
      <c r="AO147" s="14" t="str">
        <f>master!$E$4</f>
        <v>Physical</v>
      </c>
      <c r="AP147" s="14" t="str">
        <f>master!$E$5</f>
        <v>Activity</v>
      </c>
      <c r="AQ147" s="14" t="str">
        <f>master!$E$6</f>
        <v>Mental</v>
      </c>
      <c r="AR147" s="25" t="str">
        <f>master!$E$7</f>
        <v>Motivation</v>
      </c>
      <c r="AS147" t="s">
        <v>189</v>
      </c>
      <c r="AT147" s="14" t="str">
        <f>master!$E$3</f>
        <v>General</v>
      </c>
      <c r="AU147" s="14" t="str">
        <f>master!$E$4</f>
        <v>Physical</v>
      </c>
      <c r="AV147" s="14" t="str">
        <f>master!$E$5</f>
        <v>Activity</v>
      </c>
      <c r="AW147" s="14" t="str">
        <f>master!$E$6</f>
        <v>Mental</v>
      </c>
      <c r="AX147" s="25" t="str">
        <f>master!$E$7</f>
        <v>Motivation</v>
      </c>
      <c r="AY147" t="s">
        <v>189</v>
      </c>
      <c r="AZ147" s="14" t="str">
        <f>master!$E$3</f>
        <v>General</v>
      </c>
      <c r="BA147" s="14" t="str">
        <f>master!$E$4</f>
        <v>Physical</v>
      </c>
      <c r="BB147" s="14" t="str">
        <f>master!$E$5</f>
        <v>Activity</v>
      </c>
      <c r="BC147" s="14" t="str">
        <f>master!$E$6</f>
        <v>Mental</v>
      </c>
      <c r="BD147" s="25" t="str">
        <f>master!$E$7</f>
        <v>Motivation</v>
      </c>
      <c r="BE147" t="s">
        <v>189</v>
      </c>
      <c r="BF147" s="14" t="str">
        <f>master!$E$3</f>
        <v>General</v>
      </c>
      <c r="BG147" s="14" t="str">
        <f>master!$E$4</f>
        <v>Physical</v>
      </c>
      <c r="BH147" s="14" t="str">
        <f>master!$E$5</f>
        <v>Activity</v>
      </c>
      <c r="BI147" s="14" t="str">
        <f>master!$E$6</f>
        <v>Mental</v>
      </c>
      <c r="BJ147" s="25" t="str">
        <f>master!$E$7</f>
        <v>Motivation</v>
      </c>
      <c r="BK147" t="s">
        <v>189</v>
      </c>
      <c r="BL147" s="14" t="str">
        <f>master!$E$3</f>
        <v>General</v>
      </c>
      <c r="BM147" s="14" t="str">
        <f>master!$E$4</f>
        <v>Physical</v>
      </c>
      <c r="BN147" s="14" t="str">
        <f>master!$E$5</f>
        <v>Activity</v>
      </c>
      <c r="BO147" s="14" t="str">
        <f>master!$E$6</f>
        <v>Mental</v>
      </c>
      <c r="BP147" s="25" t="str">
        <f>master!$E$7</f>
        <v>Motivation</v>
      </c>
      <c r="BQ147" t="s">
        <v>189</v>
      </c>
      <c r="BR147" s="14" t="str">
        <f>master!$E$3</f>
        <v>General</v>
      </c>
      <c r="BS147" s="14" t="str">
        <f>master!$E$4</f>
        <v>Physical</v>
      </c>
      <c r="BT147" s="14" t="str">
        <f>master!$E$5</f>
        <v>Activity</v>
      </c>
      <c r="BU147" s="14" t="str">
        <f>master!$E$6</f>
        <v>Mental</v>
      </c>
      <c r="BV147" s="25" t="str">
        <f>master!$E$7</f>
        <v>Motivation</v>
      </c>
      <c r="BW147" t="s">
        <v>189</v>
      </c>
      <c r="BX147" s="14" t="str">
        <f>master!$E$3</f>
        <v>General</v>
      </c>
      <c r="BY147" s="14" t="str">
        <f>master!$E$4</f>
        <v>Physical</v>
      </c>
      <c r="BZ147" s="14" t="str">
        <f>master!$E$5</f>
        <v>Activity</v>
      </c>
      <c r="CA147" s="14" t="str">
        <f>master!$E$6</f>
        <v>Mental</v>
      </c>
      <c r="CB147" s="25" t="str">
        <f>master!$E$7</f>
        <v>Motivation</v>
      </c>
      <c r="CC147" t="s">
        <v>189</v>
      </c>
      <c r="CD147" s="14" t="str">
        <f>master!$E$3</f>
        <v>General</v>
      </c>
      <c r="CE147" s="14" t="str">
        <f>master!$E$4</f>
        <v>Physical</v>
      </c>
      <c r="CF147" s="14" t="str">
        <f>master!$E$5</f>
        <v>Activity</v>
      </c>
      <c r="CG147" s="14" t="str">
        <f>master!$E$6</f>
        <v>Mental</v>
      </c>
      <c r="CH147" s="25" t="str">
        <f>master!$E$7</f>
        <v>Motivation</v>
      </c>
      <c r="CI147" t="s">
        <v>189</v>
      </c>
      <c r="CJ147" s="14" t="str">
        <f>master!$E$3</f>
        <v>General</v>
      </c>
      <c r="CK147" s="14" t="str">
        <f>master!$E$4</f>
        <v>Physical</v>
      </c>
      <c r="CL147" s="14" t="str">
        <f>master!$E$5</f>
        <v>Activity</v>
      </c>
      <c r="CM147" s="14" t="str">
        <f>master!$E$6</f>
        <v>Mental</v>
      </c>
      <c r="CN147" s="25" t="str">
        <f>master!$E$7</f>
        <v>Motivation</v>
      </c>
    </row>
    <row r="148" spans="21:92" x14ac:dyDescent="0.2">
      <c r="U148" s="16">
        <f>normalitet!B$4</f>
        <v>4</v>
      </c>
      <c r="V148">
        <v>9.1604039412790328E-2</v>
      </c>
      <c r="W148">
        <v>9.8586579295363116E-2</v>
      </c>
      <c r="X148">
        <v>0.17488791052934891</v>
      </c>
      <c r="Y148">
        <v>0.17205903424620089</v>
      </c>
      <c r="Z148">
        <v>0.2211415815564495</v>
      </c>
      <c r="AA148" s="10">
        <f>normalitet!B$4</f>
        <v>4</v>
      </c>
      <c r="AB148">
        <v>4.7172434043178627E-2</v>
      </c>
      <c r="AC148">
        <v>5.0747119307888569E-2</v>
      </c>
      <c r="AD148">
        <v>9.3013926499759148E-2</v>
      </c>
      <c r="AE148">
        <v>9.3383752242272577E-2</v>
      </c>
      <c r="AF148">
        <v>0.1248496096111905</v>
      </c>
      <c r="AG148" s="16">
        <f>normalitet!B$4</f>
        <v>4</v>
      </c>
      <c r="AH148">
        <v>0.1052427043856675</v>
      </c>
      <c r="AI148">
        <v>0.1348100086725218</v>
      </c>
      <c r="AJ148">
        <v>0.2791250810198741</v>
      </c>
      <c r="AK148">
        <v>0.1854721183048732</v>
      </c>
      <c r="AL148">
        <v>0.18752176098299911</v>
      </c>
      <c r="AM148" s="10">
        <f>normalitet!B$4</f>
        <v>4</v>
      </c>
      <c r="AN148">
        <v>5.3982978760876439E-2</v>
      </c>
      <c r="AO148">
        <v>7.2630587194817603E-2</v>
      </c>
      <c r="AP148">
        <v>0.1490346770109299</v>
      </c>
      <c r="AQ148">
        <v>9.8920779955765079E-2</v>
      </c>
      <c r="AR148">
        <v>0.1015635411087296</v>
      </c>
      <c r="AS148" s="16">
        <f>normalitet!B$4</f>
        <v>4</v>
      </c>
      <c r="AT148">
        <v>0.1095037860033856</v>
      </c>
      <c r="AU148">
        <v>0.14740908443034509</v>
      </c>
      <c r="AV148">
        <v>0.26584347604903358</v>
      </c>
      <c r="AW148">
        <v>0.18910040446824619</v>
      </c>
      <c r="AX148">
        <v>0.25171608990385153</v>
      </c>
      <c r="AY148" s="10">
        <f>normalitet!B$4</f>
        <v>4</v>
      </c>
      <c r="AZ148">
        <v>5.7865139840172539E-2</v>
      </c>
      <c r="BA148">
        <v>7.8811307726549873E-2</v>
      </c>
      <c r="BB148">
        <v>0.14347939898443249</v>
      </c>
      <c r="BC148">
        <v>0.1083258049173586</v>
      </c>
      <c r="BD148">
        <v>0.13768441090859551</v>
      </c>
      <c r="BE148" s="16">
        <f>normalitet!B$4</f>
        <v>4</v>
      </c>
      <c r="BF148">
        <v>0.1141124391034125</v>
      </c>
      <c r="BG148">
        <v>0.121013433946214</v>
      </c>
      <c r="BH148">
        <v>0.1945534163577837</v>
      </c>
      <c r="BI148">
        <v>0.18315890921855729</v>
      </c>
      <c r="BJ148">
        <v>0.25888703634594268</v>
      </c>
      <c r="BK148" s="10">
        <f>normalitet!B$4</f>
        <v>4</v>
      </c>
      <c r="BL148">
        <v>6.0170958124204518E-2</v>
      </c>
      <c r="BM148">
        <v>6.2869523606284491E-2</v>
      </c>
      <c r="BN148">
        <v>0.1045071074002086</v>
      </c>
      <c r="BO148">
        <v>9.6807675534656412E-2</v>
      </c>
      <c r="BP148">
        <v>0.14632213639715511</v>
      </c>
      <c r="BQ148" s="16">
        <f>normalitet!B$4</f>
        <v>4</v>
      </c>
      <c r="BR148">
        <v>0.14528137748342751</v>
      </c>
      <c r="BS148">
        <v>0.13092709920514961</v>
      </c>
      <c r="BT148">
        <v>0.13459109987305209</v>
      </c>
      <c r="BU148">
        <v>0.25373163865523812</v>
      </c>
      <c r="BV148">
        <v>0.26954744106178963</v>
      </c>
      <c r="BW148" s="10">
        <f>normalitet!B$4</f>
        <v>4</v>
      </c>
      <c r="BX148">
        <v>7.8702730527620113E-2</v>
      </c>
      <c r="BY148">
        <v>6.8582652585130383E-2</v>
      </c>
      <c r="BZ148">
        <v>7.1560072777592021E-2</v>
      </c>
      <c r="CA148">
        <v>0.14286950567049031</v>
      </c>
      <c r="CB148">
        <v>0.15869566080559769</v>
      </c>
      <c r="CC148" s="16">
        <f>normalitet!B$4</f>
        <v>4</v>
      </c>
      <c r="CD148">
        <v>0.107059260495456</v>
      </c>
      <c r="CE148">
        <v>9.0832297093177722E-2</v>
      </c>
      <c r="CF148">
        <v>0.1068838991566441</v>
      </c>
      <c r="CG148">
        <v>0.17230107185143251</v>
      </c>
      <c r="CH148">
        <v>0.18847633287307219</v>
      </c>
      <c r="CI148" s="10">
        <f>normalitet!B$4</f>
        <v>4</v>
      </c>
      <c r="CJ148">
        <v>5.8285916822518033E-2</v>
      </c>
      <c r="CK148">
        <v>4.9179963309051361E-2</v>
      </c>
      <c r="CL148">
        <v>5.8396862124897933E-2</v>
      </c>
      <c r="CM148">
        <v>9.4635492932756554E-2</v>
      </c>
      <c r="CN148">
        <v>0.1020554907303893</v>
      </c>
    </row>
    <row r="149" spans="21:92" x14ac:dyDescent="0.2">
      <c r="U149" s="86">
        <f>U148+1</f>
        <v>5</v>
      </c>
      <c r="V149">
        <v>0.1836045074106866</v>
      </c>
      <c r="W149">
        <v>0.19530764866497091</v>
      </c>
      <c r="X149">
        <v>0.33421113133856639</v>
      </c>
      <c r="Y149">
        <v>0.32785613077406572</v>
      </c>
      <c r="Z149">
        <v>0.4210081610565376</v>
      </c>
      <c r="AA149" s="10">
        <f>AA148+0.5</f>
        <v>4.5</v>
      </c>
      <c r="AB149">
        <v>4.7176353200063588E-2</v>
      </c>
      <c r="AC149">
        <v>5.057370514062396E-2</v>
      </c>
      <c r="AD149">
        <v>9.1716091550608794E-2</v>
      </c>
      <c r="AE149">
        <v>9.1517210215340122E-2</v>
      </c>
      <c r="AF149">
        <v>0.1200797739080138</v>
      </c>
      <c r="AG149" s="86">
        <f>AG148+1</f>
        <v>5</v>
      </c>
      <c r="AH149">
        <v>0.20611002002543621</v>
      </c>
      <c r="AI149">
        <v>0.26129020982854878</v>
      </c>
      <c r="AJ149">
        <v>0.49464984376400772</v>
      </c>
      <c r="AK149">
        <v>0.34525911155776451</v>
      </c>
      <c r="AL149">
        <v>0.35819078509347502</v>
      </c>
      <c r="AM149" s="10">
        <f>AM148+0.5</f>
        <v>4.5</v>
      </c>
      <c r="AN149">
        <v>5.4089472296556453E-2</v>
      </c>
      <c r="AO149">
        <v>7.0825395856362397E-2</v>
      </c>
      <c r="AP149">
        <v>0.14157183151609309</v>
      </c>
      <c r="AQ149">
        <v>9.6380740448388763E-2</v>
      </c>
      <c r="AR149">
        <v>9.9671399121281951E-2</v>
      </c>
      <c r="AS149" s="86">
        <f>AS148+1</f>
        <v>5</v>
      </c>
      <c r="AT149">
        <v>0.217797639255673</v>
      </c>
      <c r="AU149">
        <v>0.28607385471209551</v>
      </c>
      <c r="AV149">
        <v>0.46695978089704898</v>
      </c>
      <c r="AW149">
        <v>0.36497684619775012</v>
      </c>
      <c r="AX149">
        <v>0.45795687128983531</v>
      </c>
      <c r="AY149" s="10">
        <f>AY148+0.5</f>
        <v>4.5</v>
      </c>
      <c r="AZ149">
        <v>5.7660849398346217E-2</v>
      </c>
      <c r="BA149">
        <v>7.8038899236038808E-2</v>
      </c>
      <c r="BB149">
        <v>0.1340060277351631</v>
      </c>
      <c r="BC149">
        <v>0.10196778047778721</v>
      </c>
      <c r="BD149">
        <v>0.13038372304346971</v>
      </c>
      <c r="BE149" s="86">
        <f>BE148+1</f>
        <v>5</v>
      </c>
      <c r="BF149">
        <v>0.22001796808914001</v>
      </c>
      <c r="BG149">
        <v>0.2341876505141999</v>
      </c>
      <c r="BH149">
        <v>0.36568761945406081</v>
      </c>
      <c r="BI149">
        <v>0.339440070513435</v>
      </c>
      <c r="BJ149">
        <v>0.48348833340008418</v>
      </c>
      <c r="BK149" s="10">
        <f>BK148+0.5</f>
        <v>4.5</v>
      </c>
      <c r="BL149">
        <v>5.9296195745917907E-2</v>
      </c>
      <c r="BM149">
        <v>6.1569570357089098E-2</v>
      </c>
      <c r="BN149">
        <v>0.1022609829231744</v>
      </c>
      <c r="BO149">
        <v>9.2963934894241054E-2</v>
      </c>
      <c r="BP149">
        <v>0.13993465996554391</v>
      </c>
      <c r="BQ149" s="86">
        <f>BQ148+1</f>
        <v>5</v>
      </c>
      <c r="BR149">
        <v>0.27995694783769159</v>
      </c>
      <c r="BS149">
        <v>0.247294252282242</v>
      </c>
      <c r="BT149">
        <v>0.25930718345809028</v>
      </c>
      <c r="BU149">
        <v>0.47133766201267191</v>
      </c>
      <c r="BV149">
        <v>0.50629138342326763</v>
      </c>
      <c r="BW149" s="10">
        <f>BW148+0.5</f>
        <v>4.5</v>
      </c>
      <c r="BX149">
        <v>7.7712968655276465E-2</v>
      </c>
      <c r="BY149">
        <v>6.6564015195987189E-2</v>
      </c>
      <c r="BZ149">
        <v>7.0660071943922681E-2</v>
      </c>
      <c r="CA149">
        <v>0.13832011335914221</v>
      </c>
      <c r="CB149">
        <v>0.14986646328262301</v>
      </c>
      <c r="CC149" s="86">
        <f>CC148+1</f>
        <v>5</v>
      </c>
      <c r="CD149">
        <v>0.21000905303959391</v>
      </c>
      <c r="CE149">
        <v>0.17975962825469319</v>
      </c>
      <c r="CF149">
        <v>0.21155013455644811</v>
      </c>
      <c r="CG149">
        <v>0.33480851131295691</v>
      </c>
      <c r="CH149">
        <v>0.35295134209754481</v>
      </c>
      <c r="CI149" s="10">
        <f>CI148+0.5</f>
        <v>4.5</v>
      </c>
      <c r="CJ149">
        <v>5.7319321575909528E-2</v>
      </c>
      <c r="CK149">
        <v>4.8275858154431313E-2</v>
      </c>
      <c r="CL149">
        <v>5.7061218737721131E-2</v>
      </c>
      <c r="CM149">
        <v>9.2996932790111467E-2</v>
      </c>
      <c r="CN149">
        <v>9.9477227275429736E-2</v>
      </c>
    </row>
    <row r="150" spans="21:92" x14ac:dyDescent="0.2">
      <c r="U150" s="86">
        <f t="shared" ref="U150:U180" si="31">U149+1</f>
        <v>6</v>
      </c>
      <c r="V150">
        <v>0.27675754417557341</v>
      </c>
      <c r="W150">
        <v>0.29383799210230283</v>
      </c>
      <c r="X150">
        <v>0.47227146404170822</v>
      </c>
      <c r="Y150">
        <v>0.45372751459963401</v>
      </c>
      <c r="Z150">
        <v>0.56134295990348848</v>
      </c>
      <c r="AA150" s="10">
        <f t="shared" ref="AA150:AA180" si="32">AA149+0.5</f>
        <v>5</v>
      </c>
      <c r="AB150">
        <v>4.7322950335210542E-2</v>
      </c>
      <c r="AC150">
        <v>5.0174140917807301E-2</v>
      </c>
      <c r="AD150">
        <v>8.5818924464576979E-2</v>
      </c>
      <c r="AE150">
        <v>8.304203077041597E-2</v>
      </c>
      <c r="AF150">
        <v>0.10622573835004449</v>
      </c>
      <c r="AG150" s="86">
        <f t="shared" ref="AG150:AG180" si="33">AG149+1</f>
        <v>6</v>
      </c>
      <c r="AH150">
        <v>0.30826109443523159</v>
      </c>
      <c r="AI150">
        <v>0.36791858291163437</v>
      </c>
      <c r="AJ150">
        <v>0.65757468111596051</v>
      </c>
      <c r="AK150">
        <v>0.47024049572629012</v>
      </c>
      <c r="AL150">
        <v>0.4978846904800317</v>
      </c>
      <c r="AM150" s="10">
        <f t="shared" ref="AM150:AM180" si="34">AM149+0.5</f>
        <v>5</v>
      </c>
      <c r="AN150">
        <v>5.2960552655762383E-2</v>
      </c>
      <c r="AO150">
        <v>6.5967067359664414E-2</v>
      </c>
      <c r="AP150">
        <v>0.1245721262026811</v>
      </c>
      <c r="AQ150">
        <v>8.7674328322987452E-2</v>
      </c>
      <c r="AR150">
        <v>9.1318283678460524E-2</v>
      </c>
      <c r="AS150" s="86">
        <f t="shared" ref="AS150:AS180" si="35">AS149+1</f>
        <v>6</v>
      </c>
      <c r="AT150">
        <v>0.31559565181294957</v>
      </c>
      <c r="AU150">
        <v>0.3996271468659654</v>
      </c>
      <c r="AV150">
        <v>0.61507889788123782</v>
      </c>
      <c r="AW150">
        <v>0.4928423153509206</v>
      </c>
      <c r="AX150">
        <v>0.60688787085538209</v>
      </c>
      <c r="AY150" s="10">
        <f t="shared" ref="AY150:AY180" si="36">AY149+0.5</f>
        <v>5</v>
      </c>
      <c r="AZ150">
        <v>5.6252225108668973E-2</v>
      </c>
      <c r="BA150">
        <v>7.3390905527103312E-2</v>
      </c>
      <c r="BB150">
        <v>0.1135626270614226</v>
      </c>
      <c r="BC150">
        <v>9.1566463027023592E-2</v>
      </c>
      <c r="BD150">
        <v>0.11210272950749781</v>
      </c>
      <c r="BE150" s="86">
        <f t="shared" ref="BE150:BE180" si="37">BE149+1</f>
        <v>6</v>
      </c>
      <c r="BF150">
        <v>0.31056632354011521</v>
      </c>
      <c r="BG150">
        <v>0.34012438358321612</v>
      </c>
      <c r="BH150">
        <v>0.50424083130140929</v>
      </c>
      <c r="BI150">
        <v>0.46512167286766559</v>
      </c>
      <c r="BJ150">
        <v>0.63298678876203363</v>
      </c>
      <c r="BK150" s="10">
        <f t="shared" ref="BK150:BK180" si="38">BK149+0.5</f>
        <v>5</v>
      </c>
      <c r="BL150">
        <v>5.597117201777365E-2</v>
      </c>
      <c r="BM150">
        <v>5.9676736955107952E-2</v>
      </c>
      <c r="BN150">
        <v>9.3847049383273526E-2</v>
      </c>
      <c r="BO150">
        <v>8.6066248729629771E-2</v>
      </c>
      <c r="BP150">
        <v>0.1188292006146759</v>
      </c>
      <c r="BQ150" s="86">
        <f t="shared" ref="BQ150:BQ180" si="39">BQ149+1</f>
        <v>6</v>
      </c>
      <c r="BR150">
        <v>0.38454012043785779</v>
      </c>
      <c r="BS150">
        <v>0.34650521251104083</v>
      </c>
      <c r="BT150">
        <v>0.3639594376157439</v>
      </c>
      <c r="BU150">
        <v>0.61302562466858346</v>
      </c>
      <c r="BV150">
        <v>0.6355775462048574</v>
      </c>
      <c r="BW150" s="10">
        <f t="shared" ref="BW150:BW180" si="40">BW149+0.5</f>
        <v>5</v>
      </c>
      <c r="BX150">
        <v>7.14831329986782E-2</v>
      </c>
      <c r="BY150">
        <v>6.2479541430986781E-2</v>
      </c>
      <c r="BZ150">
        <v>6.6263144059616155E-2</v>
      </c>
      <c r="CA150">
        <v>0.11912912726764111</v>
      </c>
      <c r="CB150">
        <v>0.1241969800167749</v>
      </c>
      <c r="CC150" s="86">
        <f t="shared" ref="CC150:CC180" si="41">CC149+1</f>
        <v>6</v>
      </c>
      <c r="CD150">
        <v>0.29405968142068528</v>
      </c>
      <c r="CE150">
        <v>0.25597964974672999</v>
      </c>
      <c r="CF150">
        <v>0.29892145792851987</v>
      </c>
      <c r="CG150">
        <v>0.46076036287688571</v>
      </c>
      <c r="CH150">
        <v>0.48091434408701739</v>
      </c>
      <c r="CI150" s="10">
        <f t="shared" ref="CI150:CI180" si="42">CI149+0.5</f>
        <v>5</v>
      </c>
      <c r="CJ150">
        <v>5.4161184688198458E-2</v>
      </c>
      <c r="CK150">
        <v>4.6393055095077892E-2</v>
      </c>
      <c r="CL150">
        <v>5.4697870097628339E-2</v>
      </c>
      <c r="CM150">
        <v>8.6102514886548451E-2</v>
      </c>
      <c r="CN150">
        <v>8.8945629417714597E-2</v>
      </c>
    </row>
    <row r="151" spans="21:92" x14ac:dyDescent="0.2">
      <c r="U151" s="86">
        <f t="shared" si="31"/>
        <v>7</v>
      </c>
      <c r="V151">
        <v>0.37125041597737402</v>
      </c>
      <c r="W151">
        <v>0.39148719185146991</v>
      </c>
      <c r="X151">
        <v>0.57657026432996394</v>
      </c>
      <c r="Y151">
        <v>0.55599877386635599</v>
      </c>
      <c r="Z151">
        <v>0.66006601549653343</v>
      </c>
      <c r="AA151" s="10">
        <f t="shared" si="32"/>
        <v>5.5</v>
      </c>
      <c r="AB151">
        <v>4.7527211565096997E-2</v>
      </c>
      <c r="AC151">
        <v>4.9901371897246832E-2</v>
      </c>
      <c r="AD151">
        <v>7.8342071754458661E-2</v>
      </c>
      <c r="AE151">
        <v>7.3426475133261365E-2</v>
      </c>
      <c r="AF151">
        <v>8.8897536506234442E-2</v>
      </c>
      <c r="AG151" s="86">
        <f t="shared" si="33"/>
        <v>7</v>
      </c>
      <c r="AH151">
        <v>0.40126647663041459</v>
      </c>
      <c r="AI151">
        <v>0.46174181305733969</v>
      </c>
      <c r="AJ151">
        <v>0.75957681442318237</v>
      </c>
      <c r="AK151">
        <v>0.55624224460423266</v>
      </c>
      <c r="AL151">
        <v>0.60676807260665888</v>
      </c>
      <c r="AM151" s="10">
        <f t="shared" si="34"/>
        <v>5.5</v>
      </c>
      <c r="AN151">
        <v>5.2317040425566438E-2</v>
      </c>
      <c r="AO151">
        <v>5.9993261789560368E-2</v>
      </c>
      <c r="AP151">
        <v>0.1051563305734924</v>
      </c>
      <c r="AQ151">
        <v>7.5486041451644684E-2</v>
      </c>
      <c r="AR151">
        <v>8.1353648507926826E-2</v>
      </c>
      <c r="AS151" s="86">
        <f t="shared" si="35"/>
        <v>7</v>
      </c>
      <c r="AT151">
        <v>0.40703709402760802</v>
      </c>
      <c r="AU151">
        <v>0.49053950823365189</v>
      </c>
      <c r="AV151">
        <v>0.71246166104248743</v>
      </c>
      <c r="AW151">
        <v>0.5948828105422409</v>
      </c>
      <c r="AX151">
        <v>0.71639321185409899</v>
      </c>
      <c r="AY151" s="10">
        <f t="shared" si="36"/>
        <v>5.5</v>
      </c>
      <c r="AZ151">
        <v>5.4454274809622331E-2</v>
      </c>
      <c r="BA151">
        <v>6.7936801730762886E-2</v>
      </c>
      <c r="BB151">
        <v>9.4130960751179243E-2</v>
      </c>
      <c r="BC151">
        <v>7.8057641831728058E-2</v>
      </c>
      <c r="BD151">
        <v>9.1763809314666836E-2</v>
      </c>
      <c r="BE151" s="86">
        <f t="shared" si="37"/>
        <v>7</v>
      </c>
      <c r="BF151">
        <v>0.38802703432901958</v>
      </c>
      <c r="BG151">
        <v>0.43952984087909341</v>
      </c>
      <c r="BH151">
        <v>0.60364921854845277</v>
      </c>
      <c r="BI151">
        <v>0.55475582390478129</v>
      </c>
      <c r="BJ151">
        <v>0.74106287350791789</v>
      </c>
      <c r="BK151" s="10">
        <f t="shared" si="38"/>
        <v>5.5</v>
      </c>
      <c r="BL151">
        <v>5.1858055495638163E-2</v>
      </c>
      <c r="BM151">
        <v>5.6891893794216587E-2</v>
      </c>
      <c r="BN151">
        <v>8.2472420415238237E-2</v>
      </c>
      <c r="BO151">
        <v>7.5250864495891662E-2</v>
      </c>
      <c r="BP151">
        <v>9.6387733165287329E-2</v>
      </c>
      <c r="BQ151" s="86">
        <f t="shared" si="39"/>
        <v>7</v>
      </c>
      <c r="BR151">
        <v>0.46185517675108978</v>
      </c>
      <c r="BS151">
        <v>0.43000889469221099</v>
      </c>
      <c r="BT151">
        <v>0.45146957046701142</v>
      </c>
      <c r="BU151">
        <v>0.6959314909634432</v>
      </c>
      <c r="BV151">
        <v>0.72197633698521513</v>
      </c>
      <c r="BW151" s="10">
        <f t="shared" si="40"/>
        <v>5.5</v>
      </c>
      <c r="BX151">
        <v>6.3880413122366059E-2</v>
      </c>
      <c r="BY151">
        <v>5.6538341445121328E-2</v>
      </c>
      <c r="BZ151">
        <v>6.092343307688159E-2</v>
      </c>
      <c r="CA151">
        <v>9.5914645359243128E-2</v>
      </c>
      <c r="CB151">
        <v>9.3709107288576329E-2</v>
      </c>
      <c r="CC151" s="86">
        <f t="shared" si="41"/>
        <v>7</v>
      </c>
      <c r="CD151">
        <v>0.35860338666680402</v>
      </c>
      <c r="CE151">
        <v>0.32007238306608632</v>
      </c>
      <c r="CF151">
        <v>0.37020400375671991</v>
      </c>
      <c r="CG151">
        <v>0.55370835166411192</v>
      </c>
      <c r="CH151">
        <v>0.58356122976995917</v>
      </c>
      <c r="CI151" s="10">
        <f t="shared" si="42"/>
        <v>5.5</v>
      </c>
      <c r="CJ151">
        <v>4.9657661055073757E-2</v>
      </c>
      <c r="CK151">
        <v>4.3259908445052488E-2</v>
      </c>
      <c r="CL151">
        <v>5.047387099738352E-2</v>
      </c>
      <c r="CM151">
        <v>7.6983387661358677E-2</v>
      </c>
      <c r="CN151">
        <v>7.6595810977369311E-2</v>
      </c>
    </row>
    <row r="152" spans="21:92" x14ac:dyDescent="0.2">
      <c r="U152" s="86">
        <f t="shared" si="31"/>
        <v>8</v>
      </c>
      <c r="V152">
        <v>0.46025187030285442</v>
      </c>
      <c r="W152">
        <v>0.48532093748015759</v>
      </c>
      <c r="X152">
        <v>0.6596605243416821</v>
      </c>
      <c r="Y152">
        <v>0.64499868809756344</v>
      </c>
      <c r="Z152">
        <v>0.73355052100678475</v>
      </c>
      <c r="AA152" s="10">
        <f t="shared" si="32"/>
        <v>6</v>
      </c>
      <c r="AB152">
        <v>4.8076415347272389E-2</v>
      </c>
      <c r="AC152">
        <v>4.9762374497581738E-2</v>
      </c>
      <c r="AD152">
        <v>7.0245914486933195E-2</v>
      </c>
      <c r="AE152">
        <v>6.4036683518407078E-2</v>
      </c>
      <c r="AF152">
        <v>7.2483196703179792E-2</v>
      </c>
      <c r="AG152" s="86">
        <f t="shared" si="33"/>
        <v>8</v>
      </c>
      <c r="AH152">
        <v>0.48707555048887091</v>
      </c>
      <c r="AI152">
        <v>0.54999687507700123</v>
      </c>
      <c r="AJ152">
        <v>0.83117779169914685</v>
      </c>
      <c r="AK152">
        <v>0.62683263422003765</v>
      </c>
      <c r="AL152">
        <v>0.69659598945107248</v>
      </c>
      <c r="AM152" s="10">
        <f t="shared" si="34"/>
        <v>6</v>
      </c>
      <c r="AN152">
        <v>5.1641924701066308E-2</v>
      </c>
      <c r="AO152">
        <v>5.4481366498751939E-2</v>
      </c>
      <c r="AP152">
        <v>8.3523847687669711E-2</v>
      </c>
      <c r="AQ152">
        <v>6.2970883459659288E-2</v>
      </c>
      <c r="AR152">
        <v>7.132398662675217E-2</v>
      </c>
      <c r="AS152" s="86">
        <f t="shared" si="35"/>
        <v>8</v>
      </c>
      <c r="AT152">
        <v>0.48298189110745399</v>
      </c>
      <c r="AU152">
        <v>0.55935069415339833</v>
      </c>
      <c r="AV152">
        <v>0.77600816285593766</v>
      </c>
      <c r="AW152">
        <v>0.67705742903343014</v>
      </c>
      <c r="AX152">
        <v>0.80525417551741862</v>
      </c>
      <c r="AY152" s="10">
        <f t="shared" si="36"/>
        <v>6</v>
      </c>
      <c r="AZ152">
        <v>5.2115473393494462E-2</v>
      </c>
      <c r="BA152">
        <v>6.0383732689345888E-2</v>
      </c>
      <c r="BB152">
        <v>7.6713873894599632E-2</v>
      </c>
      <c r="BC152">
        <v>6.6537076808939929E-2</v>
      </c>
      <c r="BD152">
        <v>7.78113629209682E-2</v>
      </c>
      <c r="BE152" s="86">
        <f t="shared" si="37"/>
        <v>8</v>
      </c>
      <c r="BF152">
        <v>0.4576373947168606</v>
      </c>
      <c r="BG152">
        <v>0.53098077466023241</v>
      </c>
      <c r="BH152">
        <v>0.68204131010871649</v>
      </c>
      <c r="BI152">
        <v>0.629284620633208</v>
      </c>
      <c r="BJ152">
        <v>0.82328730528465766</v>
      </c>
      <c r="BK152" s="10">
        <f t="shared" si="38"/>
        <v>6</v>
      </c>
      <c r="BL152">
        <v>4.6924427926942597E-2</v>
      </c>
      <c r="BM152">
        <v>5.4593174749699963E-2</v>
      </c>
      <c r="BN152">
        <v>7.0397168709392749E-2</v>
      </c>
      <c r="BO152">
        <v>6.4576841350012917E-2</v>
      </c>
      <c r="BP152">
        <v>7.8384534598955474E-2</v>
      </c>
      <c r="BQ152" s="86">
        <f t="shared" si="39"/>
        <v>8</v>
      </c>
      <c r="BR152">
        <v>0.51946671668837696</v>
      </c>
      <c r="BS152">
        <v>0.50657956357293721</v>
      </c>
      <c r="BT152">
        <v>0.52562836340803043</v>
      </c>
      <c r="BU152">
        <v>0.74898297416966986</v>
      </c>
      <c r="BV152">
        <v>0.78767897392646624</v>
      </c>
      <c r="BW152" s="10">
        <f t="shared" si="40"/>
        <v>6</v>
      </c>
      <c r="BX152">
        <v>5.4799026379933127E-2</v>
      </c>
      <c r="BY152">
        <v>5.0723218565986383E-2</v>
      </c>
      <c r="BZ152">
        <v>5.4580689059572481E-2</v>
      </c>
      <c r="CA152">
        <v>7.2479493570231993E-2</v>
      </c>
      <c r="CB152">
        <v>6.7812051234325654E-2</v>
      </c>
      <c r="CC152" s="86">
        <f t="shared" si="41"/>
        <v>8</v>
      </c>
      <c r="CD152">
        <v>0.4100364169038016</v>
      </c>
      <c r="CE152">
        <v>0.37673714501055811</v>
      </c>
      <c r="CF152">
        <v>0.43054288731971402</v>
      </c>
      <c r="CG152">
        <v>0.62037998749651979</v>
      </c>
      <c r="CH152">
        <v>0.67495389801783578</v>
      </c>
      <c r="CI152" s="10">
        <f t="shared" si="42"/>
        <v>6</v>
      </c>
      <c r="CJ152">
        <v>4.4086014049296407E-2</v>
      </c>
      <c r="CK152">
        <v>3.97540785939825E-2</v>
      </c>
      <c r="CL152">
        <v>4.5820060888989947E-2</v>
      </c>
      <c r="CM152">
        <v>6.630268448771541E-2</v>
      </c>
      <c r="CN152">
        <v>6.4464795131701447E-2</v>
      </c>
    </row>
    <row r="153" spans="21:92" x14ac:dyDescent="0.2">
      <c r="U153" s="86">
        <f t="shared" si="31"/>
        <v>9</v>
      </c>
      <c r="V153">
        <v>0.54035000599506389</v>
      </c>
      <c r="W153">
        <v>0.56985470660105364</v>
      </c>
      <c r="X153">
        <v>0.72608339285760459</v>
      </c>
      <c r="Y153">
        <v>0.72472402335928865</v>
      </c>
      <c r="Z153">
        <v>0.79658534874143472</v>
      </c>
      <c r="AA153" s="10">
        <f t="shared" si="32"/>
        <v>6.5</v>
      </c>
      <c r="AB153">
        <v>4.8633810923047548E-2</v>
      </c>
      <c r="AC153">
        <v>5.063912184958469E-2</v>
      </c>
      <c r="AD153">
        <v>6.1929476729111442E-2</v>
      </c>
      <c r="AE153">
        <v>5.6573150137416178E-2</v>
      </c>
      <c r="AF153">
        <v>5.8740157460282119E-2</v>
      </c>
      <c r="AG153" s="86">
        <f t="shared" si="33"/>
        <v>9</v>
      </c>
      <c r="AH153">
        <v>0.5652960479180742</v>
      </c>
      <c r="AI153">
        <v>0.63891917464775883</v>
      </c>
      <c r="AJ153">
        <v>0.87630672705113022</v>
      </c>
      <c r="AK153">
        <v>0.68923553414723826</v>
      </c>
      <c r="AL153">
        <v>0.77200006049031888</v>
      </c>
      <c r="AM153" s="10">
        <f t="shared" si="34"/>
        <v>6.5</v>
      </c>
      <c r="AN153">
        <v>4.9791533024335623E-2</v>
      </c>
      <c r="AO153">
        <v>4.9915268664851672E-2</v>
      </c>
      <c r="AP153">
        <v>6.6486016040039495E-2</v>
      </c>
      <c r="AQ153">
        <v>5.2646384900626939E-2</v>
      </c>
      <c r="AR153">
        <v>6.2380493796835607E-2</v>
      </c>
      <c r="AS153" s="86">
        <f t="shared" si="35"/>
        <v>9</v>
      </c>
      <c r="AT153">
        <v>0.54860953610623708</v>
      </c>
      <c r="AU153">
        <v>0.61436870675749244</v>
      </c>
      <c r="AV153">
        <v>0.82503896586440462</v>
      </c>
      <c r="AW153">
        <v>0.74323202593619841</v>
      </c>
      <c r="AX153">
        <v>0.86476660825866702</v>
      </c>
      <c r="AY153" s="10">
        <f t="shared" si="36"/>
        <v>6.5</v>
      </c>
      <c r="AZ153">
        <v>4.9438444168172828E-2</v>
      </c>
      <c r="BA153">
        <v>5.3283119579996152E-2</v>
      </c>
      <c r="BB153">
        <v>6.2656140548528791E-2</v>
      </c>
      <c r="BC153">
        <v>5.8037033515598781E-2</v>
      </c>
      <c r="BD153">
        <v>6.6547705699180962E-2</v>
      </c>
      <c r="BE153" s="86">
        <f t="shared" si="37"/>
        <v>9</v>
      </c>
      <c r="BF153">
        <v>0.52394603179297117</v>
      </c>
      <c r="BG153">
        <v>0.61216212623582256</v>
      </c>
      <c r="BH153">
        <v>0.74455978036418746</v>
      </c>
      <c r="BI153">
        <v>0.69297413137842823</v>
      </c>
      <c r="BJ153">
        <v>0.87876381294696759</v>
      </c>
      <c r="BK153" s="10">
        <f t="shared" si="38"/>
        <v>6.5</v>
      </c>
      <c r="BL153">
        <v>4.2733105292494411E-2</v>
      </c>
      <c r="BM153">
        <v>5.2632225122496913E-2</v>
      </c>
      <c r="BN153">
        <v>6.040686751345898E-2</v>
      </c>
      <c r="BO153">
        <v>5.4651452421688472E-2</v>
      </c>
      <c r="BP153">
        <v>6.5216406604559657E-2</v>
      </c>
      <c r="BQ153" s="86">
        <f t="shared" si="39"/>
        <v>9</v>
      </c>
      <c r="BR153">
        <v>0.56903502146605411</v>
      </c>
      <c r="BS153">
        <v>0.5783788518270625</v>
      </c>
      <c r="BT153">
        <v>0.59246301173250693</v>
      </c>
      <c r="BU153">
        <v>0.78816271410078353</v>
      </c>
      <c r="BV153">
        <v>0.83834917099569117</v>
      </c>
      <c r="BW153" s="10">
        <f t="shared" si="40"/>
        <v>6.5</v>
      </c>
      <c r="BX153">
        <v>4.6475203102557892E-2</v>
      </c>
      <c r="BY153">
        <v>4.5590004297908528E-2</v>
      </c>
      <c r="BZ153">
        <v>4.9172438697122303E-2</v>
      </c>
      <c r="CA153">
        <v>5.3736817704789108E-2</v>
      </c>
      <c r="CB153">
        <v>5.0833182834799297E-2</v>
      </c>
      <c r="CC153" s="86">
        <f t="shared" si="41"/>
        <v>9</v>
      </c>
      <c r="CD153">
        <v>0.45395884073719373</v>
      </c>
      <c r="CE153">
        <v>0.42889606014348519</v>
      </c>
      <c r="CF153">
        <v>0.4844172993889545</v>
      </c>
      <c r="CG153">
        <v>0.6753432060196396</v>
      </c>
      <c r="CH153">
        <v>0.75619865679130505</v>
      </c>
      <c r="CI153" s="10">
        <f t="shared" si="42"/>
        <v>6.5</v>
      </c>
      <c r="CJ153">
        <v>3.8429596263160913E-2</v>
      </c>
      <c r="CK153">
        <v>3.6202205792120287E-2</v>
      </c>
      <c r="CL153">
        <v>4.1015653295122578E-2</v>
      </c>
      <c r="CM153">
        <v>5.6102767729544423E-2</v>
      </c>
      <c r="CN153">
        <v>5.6961252276349301E-2</v>
      </c>
    </row>
    <row r="154" spans="21:92" x14ac:dyDescent="0.2">
      <c r="U154" s="86">
        <f t="shared" si="31"/>
        <v>10</v>
      </c>
      <c r="V154">
        <v>0.60704624931922424</v>
      </c>
      <c r="W154">
        <v>0.64009985312630513</v>
      </c>
      <c r="X154">
        <v>0.78566878484647951</v>
      </c>
      <c r="Y154">
        <v>0.7913108645226542</v>
      </c>
      <c r="Z154">
        <v>0.85105402359438076</v>
      </c>
      <c r="AA154" s="10">
        <f t="shared" si="32"/>
        <v>7</v>
      </c>
      <c r="AB154">
        <v>4.8817491185813501E-2</v>
      </c>
      <c r="AC154">
        <v>5.080377417957025E-2</v>
      </c>
      <c r="AD154">
        <v>5.4709039987167862E-2</v>
      </c>
      <c r="AE154">
        <v>5.2397471785722967E-2</v>
      </c>
      <c r="AF154">
        <v>4.9585262635080958E-2</v>
      </c>
      <c r="AG154" s="86">
        <f t="shared" si="33"/>
        <v>10</v>
      </c>
      <c r="AH154">
        <v>0.64235909296500493</v>
      </c>
      <c r="AI154">
        <v>0.72334143470823575</v>
      </c>
      <c r="AJ154">
        <v>0.90492330726901782</v>
      </c>
      <c r="AK154">
        <v>0.75019345816034988</v>
      </c>
      <c r="AL154">
        <v>0.82933756585032936</v>
      </c>
      <c r="AM154" s="10">
        <f t="shared" si="34"/>
        <v>7</v>
      </c>
      <c r="AN154">
        <v>4.8423466328250703E-2</v>
      </c>
      <c r="AO154">
        <v>4.7179068897557769E-2</v>
      </c>
      <c r="AP154">
        <v>5.4157456474112887E-2</v>
      </c>
      <c r="AQ154">
        <v>4.4446168217340688E-2</v>
      </c>
      <c r="AR154">
        <v>5.6319906664349009E-2</v>
      </c>
      <c r="AS154" s="86">
        <f t="shared" si="35"/>
        <v>10</v>
      </c>
      <c r="AT154">
        <v>0.60430924000217234</v>
      </c>
      <c r="AU154">
        <v>0.66193668789350368</v>
      </c>
      <c r="AV154">
        <v>0.86118491960944432</v>
      </c>
      <c r="AW154">
        <v>0.79679537795362088</v>
      </c>
      <c r="AX154">
        <v>0.90091502411936508</v>
      </c>
      <c r="AY154" s="10">
        <f t="shared" si="36"/>
        <v>7</v>
      </c>
      <c r="AZ154">
        <v>4.6608944765368941E-2</v>
      </c>
      <c r="BA154">
        <v>4.6365109993939217E-2</v>
      </c>
      <c r="BB154">
        <v>5.1630792173435143E-2</v>
      </c>
      <c r="BC154">
        <v>5.1798748456105791E-2</v>
      </c>
      <c r="BD154">
        <v>5.8232692216630848E-2</v>
      </c>
      <c r="BE154" s="86">
        <f t="shared" si="37"/>
        <v>10</v>
      </c>
      <c r="BF154">
        <v>0.58807004701527887</v>
      </c>
      <c r="BG154">
        <v>0.67785839331876752</v>
      </c>
      <c r="BH154">
        <v>0.79658366897152721</v>
      </c>
      <c r="BI154">
        <v>0.75102612396990198</v>
      </c>
      <c r="BJ154">
        <v>0.91625502576232609</v>
      </c>
      <c r="BK154" s="10">
        <f t="shared" si="38"/>
        <v>7</v>
      </c>
      <c r="BL154">
        <v>3.9375013849437708E-2</v>
      </c>
      <c r="BM154">
        <v>5.1456966743743678E-2</v>
      </c>
      <c r="BN154">
        <v>5.1992986195832792E-2</v>
      </c>
      <c r="BO154">
        <v>4.6839375845401869E-2</v>
      </c>
      <c r="BP154">
        <v>5.7150578209771222E-2</v>
      </c>
      <c r="BQ154" s="86">
        <f t="shared" si="39"/>
        <v>10</v>
      </c>
      <c r="BR154">
        <v>0.61565125079148131</v>
      </c>
      <c r="BS154">
        <v>0.64427389078207165</v>
      </c>
      <c r="BT154">
        <v>0.6527140379794002</v>
      </c>
      <c r="BU154">
        <v>0.81970519817646181</v>
      </c>
      <c r="BV154">
        <v>0.87107090666928588</v>
      </c>
      <c r="BW154" s="10">
        <f t="shared" si="40"/>
        <v>7</v>
      </c>
      <c r="BX154">
        <v>3.8654357293573693E-2</v>
      </c>
      <c r="BY154">
        <v>4.2641543226418548E-2</v>
      </c>
      <c r="BZ154">
        <v>4.4497324137026978E-2</v>
      </c>
      <c r="CA154">
        <v>4.134930250795385E-2</v>
      </c>
      <c r="CB154">
        <v>4.2226907610528067E-2</v>
      </c>
      <c r="CC154" s="86">
        <f t="shared" si="41"/>
        <v>10</v>
      </c>
      <c r="CD154">
        <v>0.49791178683841802</v>
      </c>
      <c r="CE154">
        <v>0.48099598217372291</v>
      </c>
      <c r="CF154">
        <v>0.53705925073056382</v>
      </c>
      <c r="CG154">
        <v>0.72049161693339236</v>
      </c>
      <c r="CH154">
        <v>0.81765561395806341</v>
      </c>
      <c r="CI154" s="10">
        <f t="shared" si="42"/>
        <v>7</v>
      </c>
      <c r="CJ154">
        <v>3.3095608919150511E-2</v>
      </c>
      <c r="CK154">
        <v>3.301946507719062E-2</v>
      </c>
      <c r="CL154">
        <v>3.6699455381663797E-2</v>
      </c>
      <c r="CM154">
        <v>4.6906221818530422E-2</v>
      </c>
      <c r="CN154">
        <v>5.2683386835827482E-2</v>
      </c>
    </row>
    <row r="155" spans="21:92" x14ac:dyDescent="0.2">
      <c r="U155" s="86">
        <f t="shared" si="31"/>
        <v>11</v>
      </c>
      <c r="V155">
        <v>0.66323963831020649</v>
      </c>
      <c r="W155">
        <v>0.70189004870605465</v>
      </c>
      <c r="X155">
        <v>0.83629484736363713</v>
      </c>
      <c r="Y155">
        <v>0.84438294188141227</v>
      </c>
      <c r="Z155">
        <v>0.89444774352509437</v>
      </c>
      <c r="AA155" s="10">
        <f t="shared" si="32"/>
        <v>7.5</v>
      </c>
      <c r="AB155">
        <v>4.8299308275980113E-2</v>
      </c>
      <c r="AC155">
        <v>5.0746000884608629E-2</v>
      </c>
      <c r="AD155">
        <v>4.793659073320606E-2</v>
      </c>
      <c r="AE155">
        <v>4.9487584726389491E-2</v>
      </c>
      <c r="AF155">
        <v>4.3256756307830747E-2</v>
      </c>
      <c r="AG155" s="86">
        <f t="shared" si="33"/>
        <v>11</v>
      </c>
      <c r="AH155">
        <v>0.71737523420148808</v>
      </c>
      <c r="AI155">
        <v>0.79749130724622752</v>
      </c>
      <c r="AJ155">
        <v>0.92507605722989206</v>
      </c>
      <c r="AK155">
        <v>0.80532100488999137</v>
      </c>
      <c r="AL155">
        <v>0.87034120586792341</v>
      </c>
      <c r="AM155" s="10">
        <f t="shared" si="34"/>
        <v>7.5</v>
      </c>
      <c r="AN155">
        <v>4.6501762947474663E-2</v>
      </c>
      <c r="AO155">
        <v>4.6143175400042841E-2</v>
      </c>
      <c r="AP155">
        <v>4.4842111685273821E-2</v>
      </c>
      <c r="AQ155">
        <v>3.8772857877747188E-2</v>
      </c>
      <c r="AR155">
        <v>5.1320330127499529E-2</v>
      </c>
      <c r="AS155" s="86">
        <f t="shared" si="35"/>
        <v>11</v>
      </c>
      <c r="AT155">
        <v>0.65544089548701956</v>
      </c>
      <c r="AU155">
        <v>0.70636791900556661</v>
      </c>
      <c r="AV155">
        <v>0.88688692457873974</v>
      </c>
      <c r="AW155">
        <v>0.84132496253091482</v>
      </c>
      <c r="AX155">
        <v>0.92278769891188839</v>
      </c>
      <c r="AY155" s="10">
        <f t="shared" si="36"/>
        <v>7.5</v>
      </c>
      <c r="AZ155">
        <v>4.3358796192139101E-2</v>
      </c>
      <c r="BA155">
        <v>4.0139734919919921E-2</v>
      </c>
      <c r="BB155">
        <v>4.1428986272663247E-2</v>
      </c>
      <c r="BC155">
        <v>4.768382024671837E-2</v>
      </c>
      <c r="BD155">
        <v>5.2829452473727112E-2</v>
      </c>
      <c r="BE155" s="86">
        <f t="shared" si="37"/>
        <v>11</v>
      </c>
      <c r="BF155">
        <v>0.64926498175241909</v>
      </c>
      <c r="BG155">
        <v>0.73152745743126535</v>
      </c>
      <c r="BH155">
        <v>0.83752470857695038</v>
      </c>
      <c r="BI155">
        <v>0.80074816682503813</v>
      </c>
      <c r="BJ155">
        <v>0.94229978155623373</v>
      </c>
      <c r="BK155" s="10">
        <f t="shared" si="38"/>
        <v>7.5</v>
      </c>
      <c r="BL155">
        <v>3.6915896449225688E-2</v>
      </c>
      <c r="BM155">
        <v>5.0159394833458687E-2</v>
      </c>
      <c r="BN155">
        <v>4.5246130733209093E-2</v>
      </c>
      <c r="BO155">
        <v>4.1661824181727071E-2</v>
      </c>
      <c r="BP155">
        <v>5.0194888281293079E-2</v>
      </c>
      <c r="BQ155" s="86">
        <f t="shared" si="39"/>
        <v>11</v>
      </c>
      <c r="BR155">
        <v>0.66355163701196362</v>
      </c>
      <c r="BS155">
        <v>0.70306803196885814</v>
      </c>
      <c r="BT155">
        <v>0.70847213273894405</v>
      </c>
      <c r="BU155">
        <v>0.84716628981975928</v>
      </c>
      <c r="BV155">
        <v>0.89271784709867585</v>
      </c>
      <c r="BW155" s="10">
        <f t="shared" si="40"/>
        <v>7.5</v>
      </c>
      <c r="BX155">
        <v>3.3423910667205098E-2</v>
      </c>
      <c r="BY155">
        <v>4.0597715001432437E-2</v>
      </c>
      <c r="BZ155">
        <v>4.0930866863469341E-2</v>
      </c>
      <c r="CA155">
        <v>3.2463722634323351E-2</v>
      </c>
      <c r="CB155">
        <v>3.7921744601779619E-2</v>
      </c>
      <c r="CC155" s="86">
        <f t="shared" si="41"/>
        <v>11</v>
      </c>
      <c r="CD155">
        <v>0.54309492243028523</v>
      </c>
      <c r="CE155">
        <v>0.53273922280358676</v>
      </c>
      <c r="CF155">
        <v>0.58824589319121445</v>
      </c>
      <c r="CG155">
        <v>0.75981910520897566</v>
      </c>
      <c r="CH155">
        <v>0.86395421415983253</v>
      </c>
      <c r="CI155" s="10">
        <f t="shared" si="42"/>
        <v>7.5</v>
      </c>
      <c r="CJ155">
        <v>2.8817644277642149E-2</v>
      </c>
      <c r="CK155">
        <v>3.0458911503401551E-2</v>
      </c>
      <c r="CL155">
        <v>3.3013087587525997E-2</v>
      </c>
      <c r="CM155">
        <v>4.0099695039079578E-2</v>
      </c>
      <c r="CN155">
        <v>5.049579060899189E-2</v>
      </c>
    </row>
    <row r="156" spans="21:92" x14ac:dyDescent="0.2">
      <c r="U156" s="86">
        <f t="shared" si="31"/>
        <v>12</v>
      </c>
      <c r="V156">
        <v>0.71089432679056119</v>
      </c>
      <c r="W156">
        <v>0.76022306056110767</v>
      </c>
      <c r="X156">
        <v>0.87598677340372588</v>
      </c>
      <c r="Y156">
        <v>0.88357366853150421</v>
      </c>
      <c r="Z156">
        <v>0.92405964571704413</v>
      </c>
      <c r="AA156" s="10">
        <f t="shared" si="32"/>
        <v>8</v>
      </c>
      <c r="AB156">
        <v>4.7170423915023213E-2</v>
      </c>
      <c r="AC156">
        <v>4.950414455172264E-2</v>
      </c>
      <c r="AD156">
        <v>4.2407959301148601E-2</v>
      </c>
      <c r="AE156">
        <v>4.7117932221180221E-2</v>
      </c>
      <c r="AF156">
        <v>3.8388950567941608E-2</v>
      </c>
      <c r="AG156" s="86">
        <f t="shared" si="33"/>
        <v>12</v>
      </c>
      <c r="AH156">
        <v>0.78932383374835535</v>
      </c>
      <c r="AI156">
        <v>0.8552873661468211</v>
      </c>
      <c r="AJ156">
        <v>0.94046017507748592</v>
      </c>
      <c r="AK156">
        <v>0.85097390950883878</v>
      </c>
      <c r="AL156">
        <v>0.89667652534939779</v>
      </c>
      <c r="AM156" s="10">
        <f t="shared" si="34"/>
        <v>8</v>
      </c>
      <c r="AN156">
        <v>4.3978972954228437E-2</v>
      </c>
      <c r="AO156">
        <v>4.5748858558885892E-2</v>
      </c>
      <c r="AP156">
        <v>3.807582716798083E-2</v>
      </c>
      <c r="AQ156">
        <v>3.5522819357189372E-2</v>
      </c>
      <c r="AR156">
        <v>4.7293208235227577E-2</v>
      </c>
      <c r="AS156" s="86">
        <f t="shared" si="35"/>
        <v>12</v>
      </c>
      <c r="AT156">
        <v>0.70393306671978806</v>
      </c>
      <c r="AU156">
        <v>0.74931908132630309</v>
      </c>
      <c r="AV156">
        <v>0.908089911733584</v>
      </c>
      <c r="AW156">
        <v>0.8806993517492695</v>
      </c>
      <c r="AX156">
        <v>0.94246010206895936</v>
      </c>
      <c r="AY156" s="10">
        <f t="shared" si="36"/>
        <v>8</v>
      </c>
      <c r="AZ156">
        <v>4.0086503096624003E-2</v>
      </c>
      <c r="BA156">
        <v>3.52380753966395E-2</v>
      </c>
      <c r="BB156">
        <v>3.3848915818126199E-2</v>
      </c>
      <c r="BC156">
        <v>4.3327534698558927E-2</v>
      </c>
      <c r="BD156">
        <v>4.7816307064647498E-2</v>
      </c>
      <c r="BE156" s="86">
        <f t="shared" si="37"/>
        <v>12</v>
      </c>
      <c r="BF156">
        <v>0.70664077895508204</v>
      </c>
      <c r="BG156">
        <v>0.77549087719251397</v>
      </c>
      <c r="BH156">
        <v>0.86687215049432498</v>
      </c>
      <c r="BI156">
        <v>0.84022019633763301</v>
      </c>
      <c r="BJ156">
        <v>0.96324720471515257</v>
      </c>
      <c r="BK156" s="10">
        <f t="shared" si="38"/>
        <v>8</v>
      </c>
      <c r="BL156">
        <v>3.5695262817306991E-2</v>
      </c>
      <c r="BM156">
        <v>4.8714023659902468E-2</v>
      </c>
      <c r="BN156">
        <v>4.0547975810248611E-2</v>
      </c>
      <c r="BO156">
        <v>3.776427985721284E-2</v>
      </c>
      <c r="BP156">
        <v>4.4031363147872982E-2</v>
      </c>
      <c r="BQ156" s="86">
        <f t="shared" si="39"/>
        <v>12</v>
      </c>
      <c r="BR156">
        <v>0.71354252975211452</v>
      </c>
      <c r="BS156">
        <v>0.7540385185136419</v>
      </c>
      <c r="BT156">
        <v>0.76006432160426707</v>
      </c>
      <c r="BU156">
        <v>0.87390369972555437</v>
      </c>
      <c r="BV156">
        <v>0.91396600444810416</v>
      </c>
      <c r="BW156" s="10">
        <f t="shared" si="40"/>
        <v>8</v>
      </c>
      <c r="BX156">
        <v>2.9242303324888839E-2</v>
      </c>
      <c r="BY156">
        <v>3.9768836458874163E-2</v>
      </c>
      <c r="BZ156">
        <v>3.8475215897981287E-2</v>
      </c>
      <c r="CA156">
        <v>2.7615056692311901E-2</v>
      </c>
      <c r="CB156">
        <v>3.5727534669585441E-2</v>
      </c>
      <c r="CC156" s="86">
        <f t="shared" si="41"/>
        <v>12</v>
      </c>
      <c r="CD156">
        <v>0.59172995163734809</v>
      </c>
      <c r="CE156">
        <v>0.58531492120174233</v>
      </c>
      <c r="CF156">
        <v>0.63910137103622733</v>
      </c>
      <c r="CG156">
        <v>0.79324123683719117</v>
      </c>
      <c r="CH156">
        <v>0.89907520374584504</v>
      </c>
      <c r="CI156" s="10">
        <f t="shared" si="42"/>
        <v>8</v>
      </c>
      <c r="CJ156">
        <v>2.552003752102943E-2</v>
      </c>
      <c r="CK156">
        <v>2.8659102169980299E-2</v>
      </c>
      <c r="CL156">
        <v>3.0524926258812361E-2</v>
      </c>
      <c r="CM156">
        <v>3.4407918026273583E-2</v>
      </c>
      <c r="CN156">
        <v>4.938898285674375E-2</v>
      </c>
    </row>
    <row r="157" spans="21:92" x14ac:dyDescent="0.2">
      <c r="U157" s="86">
        <f t="shared" si="31"/>
        <v>13</v>
      </c>
      <c r="V157">
        <v>0.75455774800710496</v>
      </c>
      <c r="W157">
        <v>0.81443504358097429</v>
      </c>
      <c r="X157">
        <v>0.90553155850340528</v>
      </c>
      <c r="Y157">
        <v>0.91024443622364892</v>
      </c>
      <c r="Z157">
        <v>0.94102715188963515</v>
      </c>
      <c r="AA157" s="10">
        <f t="shared" si="32"/>
        <v>8.5</v>
      </c>
      <c r="AB157">
        <v>4.4412694890535467E-2</v>
      </c>
      <c r="AC157">
        <v>4.672497111017096E-2</v>
      </c>
      <c r="AD157">
        <v>3.7944966320688327E-2</v>
      </c>
      <c r="AE157">
        <v>4.4491151919648177E-2</v>
      </c>
      <c r="AF157">
        <v>3.5586660363325189E-2</v>
      </c>
      <c r="AG157" s="86">
        <f t="shared" si="33"/>
        <v>13</v>
      </c>
      <c r="AH157">
        <v>0.84966673050939023</v>
      </c>
      <c r="AI157">
        <v>0.89481409171031245</v>
      </c>
      <c r="AJ157">
        <v>0.95294120185569053</v>
      </c>
      <c r="AK157">
        <v>0.8859367494739977</v>
      </c>
      <c r="AL157">
        <v>0.91469092174800859</v>
      </c>
      <c r="AM157" s="10">
        <f t="shared" si="34"/>
        <v>8.5</v>
      </c>
      <c r="AN157">
        <v>4.200990909044016E-2</v>
      </c>
      <c r="AO157">
        <v>4.5952357515434687E-2</v>
      </c>
      <c r="AP157">
        <v>3.1276572099460442E-2</v>
      </c>
      <c r="AQ157">
        <v>3.338735331372001E-2</v>
      </c>
      <c r="AR157">
        <v>4.3293550779091257E-2</v>
      </c>
      <c r="AS157" s="86">
        <f t="shared" si="35"/>
        <v>13</v>
      </c>
      <c r="AT157">
        <v>0.74709592951025849</v>
      </c>
      <c r="AU157">
        <v>0.78995080494396752</v>
      </c>
      <c r="AV157">
        <v>0.91962443473506617</v>
      </c>
      <c r="AW157">
        <v>0.90930907379236214</v>
      </c>
      <c r="AX157">
        <v>0.95797081993257294</v>
      </c>
      <c r="AY157" s="10">
        <f t="shared" si="36"/>
        <v>8.5</v>
      </c>
      <c r="AZ157">
        <v>3.6670304614682687E-2</v>
      </c>
      <c r="BA157">
        <v>3.1145819198298851E-2</v>
      </c>
      <c r="BB157">
        <v>2.9010705641200601E-2</v>
      </c>
      <c r="BC157">
        <v>3.9315212859489607E-2</v>
      </c>
      <c r="BD157">
        <v>4.0971136212795543E-2</v>
      </c>
      <c r="BE157" s="86">
        <f t="shared" si="37"/>
        <v>13</v>
      </c>
      <c r="BF157">
        <v>0.75739088743530503</v>
      </c>
      <c r="BG157">
        <v>0.81359412710425782</v>
      </c>
      <c r="BH157">
        <v>0.8868850195520509</v>
      </c>
      <c r="BI157">
        <v>0.87031986731049449</v>
      </c>
      <c r="BJ157">
        <v>0.9738905332670984</v>
      </c>
      <c r="BK157" s="10">
        <f t="shared" si="38"/>
        <v>8.5</v>
      </c>
      <c r="BL157">
        <v>3.4859206474531397E-2</v>
      </c>
      <c r="BM157">
        <v>4.575954265804727E-2</v>
      </c>
      <c r="BN157">
        <v>3.620380182370566E-2</v>
      </c>
      <c r="BO157">
        <v>3.5584580600626373E-2</v>
      </c>
      <c r="BP157">
        <v>3.7107513937689213E-2</v>
      </c>
      <c r="BQ157" s="86">
        <f t="shared" si="39"/>
        <v>13</v>
      </c>
      <c r="BR157">
        <v>0.76230369428280309</v>
      </c>
      <c r="BS157">
        <v>0.7982807720383116</v>
      </c>
      <c r="BT157">
        <v>0.80460028266324157</v>
      </c>
      <c r="BU157">
        <v>0.90095198663415088</v>
      </c>
      <c r="BV157">
        <v>0.9359769620252264</v>
      </c>
      <c r="BW157" s="10">
        <f t="shared" si="40"/>
        <v>8.5</v>
      </c>
      <c r="BX157">
        <v>2.6599881941671209E-2</v>
      </c>
      <c r="BY157">
        <v>3.8912214208095937E-2</v>
      </c>
      <c r="BZ157">
        <v>3.6292875577556588E-2</v>
      </c>
      <c r="CA157">
        <v>2.3591853296292389E-2</v>
      </c>
      <c r="CB157">
        <v>3.2920151757487311E-2</v>
      </c>
      <c r="CC157" s="86">
        <f t="shared" si="41"/>
        <v>13</v>
      </c>
      <c r="CD157">
        <v>0.6403460102422629</v>
      </c>
      <c r="CE157">
        <v>0.63475420438708108</v>
      </c>
      <c r="CF157">
        <v>0.685394396339706</v>
      </c>
      <c r="CG157">
        <v>0.82289116222363756</v>
      </c>
      <c r="CH157">
        <v>0.92626304861221176</v>
      </c>
      <c r="CI157" s="10">
        <f t="shared" si="42"/>
        <v>8.5</v>
      </c>
      <c r="CJ157">
        <v>2.3472275519658119E-2</v>
      </c>
      <c r="CK157">
        <v>2.7457271052984341E-2</v>
      </c>
      <c r="CL157">
        <v>2.8620649696504689E-2</v>
      </c>
      <c r="CM157">
        <v>3.0943715343531259E-2</v>
      </c>
      <c r="CN157">
        <v>4.6158264635856761E-2</v>
      </c>
    </row>
    <row r="158" spans="21:92" x14ac:dyDescent="0.2">
      <c r="U158" s="86">
        <f t="shared" si="31"/>
        <v>14</v>
      </c>
      <c r="V158">
        <v>0.79527467651865535</v>
      </c>
      <c r="W158">
        <v>0.86173331579569434</v>
      </c>
      <c r="X158">
        <v>0.9275847734982674</v>
      </c>
      <c r="Y158">
        <v>0.92832916155895517</v>
      </c>
      <c r="Z158">
        <v>0.95062118047056776</v>
      </c>
      <c r="AA158" s="10">
        <f t="shared" si="32"/>
        <v>9</v>
      </c>
      <c r="AB158">
        <v>4.1231210061562662E-2</v>
      </c>
      <c r="AC158">
        <v>4.3484240382778282E-2</v>
      </c>
      <c r="AD158">
        <v>3.4712641040565033E-2</v>
      </c>
      <c r="AE158">
        <v>4.1702399658761352E-2</v>
      </c>
      <c r="AF158">
        <v>3.3192872588126678E-2</v>
      </c>
      <c r="AG158" s="86">
        <f t="shared" si="33"/>
        <v>14</v>
      </c>
      <c r="AH158">
        <v>0.89605598002989351</v>
      </c>
      <c r="AI158">
        <v>0.92158363800280807</v>
      </c>
      <c r="AJ158">
        <v>0.96099029773737332</v>
      </c>
      <c r="AK158">
        <v>0.91266575402168648</v>
      </c>
      <c r="AL158">
        <v>0.92752065138270789</v>
      </c>
      <c r="AM158" s="10">
        <f t="shared" si="34"/>
        <v>9</v>
      </c>
      <c r="AN158">
        <v>4.0261781854137202E-2</v>
      </c>
      <c r="AO158">
        <v>4.6001941413821509E-2</v>
      </c>
      <c r="AP158">
        <v>2.4316731536015979E-2</v>
      </c>
      <c r="AQ158">
        <v>3.2745356454663102E-2</v>
      </c>
      <c r="AR158">
        <v>3.9524747331033623E-2</v>
      </c>
      <c r="AS158" s="86">
        <f t="shared" si="35"/>
        <v>14</v>
      </c>
      <c r="AT158">
        <v>0.78417494821920997</v>
      </c>
      <c r="AU158">
        <v>0.82734233294979787</v>
      </c>
      <c r="AV158">
        <v>0.92868817635936751</v>
      </c>
      <c r="AW158">
        <v>0.92900465112157982</v>
      </c>
      <c r="AX158">
        <v>0.96790022460690683</v>
      </c>
      <c r="AY158" s="10">
        <f t="shared" si="36"/>
        <v>9</v>
      </c>
      <c r="AZ158">
        <v>3.3602898872450708E-2</v>
      </c>
      <c r="BA158">
        <v>2.827044931946468E-2</v>
      </c>
      <c r="BB158">
        <v>2.5649984311227138E-2</v>
      </c>
      <c r="BC158">
        <v>3.4724637226626318E-2</v>
      </c>
      <c r="BD158">
        <v>3.2534849027806338E-2</v>
      </c>
      <c r="BE158" s="86">
        <f t="shared" si="37"/>
        <v>14</v>
      </c>
      <c r="BF158">
        <v>0.80122802489874312</v>
      </c>
      <c r="BG158">
        <v>0.84657489231391703</v>
      </c>
      <c r="BH158">
        <v>0.90199058402275856</v>
      </c>
      <c r="BI158">
        <v>0.89338217262238506</v>
      </c>
      <c r="BJ158">
        <v>0.97858463494518877</v>
      </c>
      <c r="BK158" s="10">
        <f t="shared" si="38"/>
        <v>9</v>
      </c>
      <c r="BL158">
        <v>3.4388731970298042E-2</v>
      </c>
      <c r="BM158">
        <v>4.2163226165010143E-2</v>
      </c>
      <c r="BN158">
        <v>3.2945166622563332E-2</v>
      </c>
      <c r="BO158">
        <v>3.3614592798361521E-2</v>
      </c>
      <c r="BP158">
        <v>2.9756543072732039E-2</v>
      </c>
      <c r="BQ158" s="86">
        <f t="shared" si="39"/>
        <v>14</v>
      </c>
      <c r="BR158">
        <v>0.80841163638843283</v>
      </c>
      <c r="BS158">
        <v>0.83667990054168795</v>
      </c>
      <c r="BT158">
        <v>0.8410775148586831</v>
      </c>
      <c r="BU158">
        <v>0.92615576311325176</v>
      </c>
      <c r="BV158">
        <v>0.95478162174948766</v>
      </c>
      <c r="BW158" s="10">
        <f t="shared" si="40"/>
        <v>9</v>
      </c>
      <c r="BX158">
        <v>2.5171377897785029E-2</v>
      </c>
      <c r="BY158">
        <v>3.7526376268591788E-2</v>
      </c>
      <c r="BZ158">
        <v>3.4624102159757843E-2</v>
      </c>
      <c r="CA158">
        <v>2.0841879950425319E-2</v>
      </c>
      <c r="CB158">
        <v>2.7531908910008659E-2</v>
      </c>
      <c r="CC158" s="86">
        <f t="shared" si="41"/>
        <v>14</v>
      </c>
      <c r="CD158">
        <v>0.68936081284332551</v>
      </c>
      <c r="CE158">
        <v>0.68178733525594659</v>
      </c>
      <c r="CF158">
        <v>0.72769306963236369</v>
      </c>
      <c r="CG158">
        <v>0.84970736254417667</v>
      </c>
      <c r="CH158">
        <v>0.94553978319147902</v>
      </c>
      <c r="CI158" s="10">
        <f t="shared" si="42"/>
        <v>9</v>
      </c>
      <c r="CJ158">
        <v>2.235677371848864E-2</v>
      </c>
      <c r="CK158">
        <v>2.6906832114506209E-2</v>
      </c>
      <c r="CL158">
        <v>2.7763719035055069E-2</v>
      </c>
      <c r="CM158">
        <v>2.8025713139092901E-2</v>
      </c>
      <c r="CN158">
        <v>4.269263115310018E-2</v>
      </c>
    </row>
    <row r="159" spans="21:92" x14ac:dyDescent="0.2">
      <c r="U159" s="86">
        <f t="shared" si="31"/>
        <v>15</v>
      </c>
      <c r="V159">
        <v>0.83458717137837957</v>
      </c>
      <c r="W159">
        <v>0.89885810360712948</v>
      </c>
      <c r="X159">
        <v>0.94499972546186972</v>
      </c>
      <c r="Y159">
        <v>0.94186566920467862</v>
      </c>
      <c r="Z159">
        <v>0.95796996918959354</v>
      </c>
      <c r="AA159" s="10">
        <f t="shared" si="32"/>
        <v>9.5</v>
      </c>
      <c r="AB159">
        <v>3.7657004188060603E-2</v>
      </c>
      <c r="AC159">
        <v>3.9403059725463943E-2</v>
      </c>
      <c r="AD159">
        <v>3.2812658116149543E-2</v>
      </c>
      <c r="AE159">
        <v>3.8253925630884998E-2</v>
      </c>
      <c r="AF159">
        <v>3.1123483299496841E-2</v>
      </c>
      <c r="AG159" s="86">
        <f t="shared" si="33"/>
        <v>15</v>
      </c>
      <c r="AH159">
        <v>0.92633142798437806</v>
      </c>
      <c r="AI159">
        <v>0.9409168175762902</v>
      </c>
      <c r="AJ159">
        <v>0.96629802882671345</v>
      </c>
      <c r="AK159">
        <v>0.93411667734826909</v>
      </c>
      <c r="AL159">
        <v>0.93842842586572961</v>
      </c>
      <c r="AM159" s="10">
        <f t="shared" si="34"/>
        <v>9.5</v>
      </c>
      <c r="AN159">
        <v>3.9608647721047593E-2</v>
      </c>
      <c r="AO159">
        <v>4.5401691649624487E-2</v>
      </c>
      <c r="AP159">
        <v>1.7674438881941319E-2</v>
      </c>
      <c r="AQ159">
        <v>3.2625397952231863E-2</v>
      </c>
      <c r="AR159">
        <v>3.4963050824092817E-2</v>
      </c>
      <c r="AS159" s="86">
        <f t="shared" si="35"/>
        <v>15</v>
      </c>
      <c r="AT159">
        <v>0.81436156592173126</v>
      </c>
      <c r="AU159">
        <v>0.86011611146654898</v>
      </c>
      <c r="AV159">
        <v>0.93886789500488033</v>
      </c>
      <c r="AW159">
        <v>0.94177026120638851</v>
      </c>
      <c r="AX159">
        <v>0.97381616456271214</v>
      </c>
      <c r="AY159" s="10">
        <f t="shared" si="36"/>
        <v>9.5</v>
      </c>
      <c r="AZ159">
        <v>3.0526747781621739E-2</v>
      </c>
      <c r="BA159">
        <v>2.5731065136327839E-2</v>
      </c>
      <c r="BB159">
        <v>2.2971356873762151E-2</v>
      </c>
      <c r="BC159">
        <v>3.0547725490523221E-2</v>
      </c>
      <c r="BD159">
        <v>2.427869696263929E-2</v>
      </c>
      <c r="BE159" s="86">
        <f t="shared" si="37"/>
        <v>15</v>
      </c>
      <c r="BF159">
        <v>0.83790166243336928</v>
      </c>
      <c r="BG159">
        <v>0.87553192941517366</v>
      </c>
      <c r="BH159">
        <v>0.91728805896456356</v>
      </c>
      <c r="BI159">
        <v>0.91268138326703308</v>
      </c>
      <c r="BJ159">
        <v>0.9810234560566119</v>
      </c>
      <c r="BK159" s="10">
        <f t="shared" si="38"/>
        <v>9.5</v>
      </c>
      <c r="BL159">
        <v>3.387331278461151E-2</v>
      </c>
      <c r="BM159">
        <v>3.8115800310305682E-2</v>
      </c>
      <c r="BN159">
        <v>3.0079719695500849E-2</v>
      </c>
      <c r="BO159">
        <v>3.2364856683328128E-2</v>
      </c>
      <c r="BP159">
        <v>2.3426114616095731E-2</v>
      </c>
      <c r="BQ159" s="86">
        <f t="shared" si="39"/>
        <v>15</v>
      </c>
      <c r="BR159">
        <v>0.84908907577852299</v>
      </c>
      <c r="BS159">
        <v>0.87070135273855598</v>
      </c>
      <c r="BT159">
        <v>0.86800494898610037</v>
      </c>
      <c r="BU159">
        <v>0.94723244319000732</v>
      </c>
      <c r="BV159">
        <v>0.9673442641982628</v>
      </c>
      <c r="BW159" s="10">
        <f t="shared" si="40"/>
        <v>9.5</v>
      </c>
      <c r="BX159">
        <v>2.3920109042419809E-2</v>
      </c>
      <c r="BY159">
        <v>3.6364506993546007E-2</v>
      </c>
      <c r="BZ159">
        <v>3.2766407043381962E-2</v>
      </c>
      <c r="CA159">
        <v>1.8398226432257879E-2</v>
      </c>
      <c r="CB159">
        <v>2.168948742194585E-2</v>
      </c>
      <c r="CC159" s="86">
        <f t="shared" si="41"/>
        <v>15</v>
      </c>
      <c r="CD159">
        <v>0.7365990468151038</v>
      </c>
      <c r="CE159">
        <v>0.72592750304968479</v>
      </c>
      <c r="CF159">
        <v>0.76609357192335314</v>
      </c>
      <c r="CG159">
        <v>0.87647230346441496</v>
      </c>
      <c r="CH159">
        <v>0.95693103262444579</v>
      </c>
      <c r="CI159" s="10">
        <f t="shared" si="42"/>
        <v>9.5</v>
      </c>
      <c r="CJ159">
        <v>2.2121558503332289E-2</v>
      </c>
      <c r="CK159">
        <v>2.6679490604356891E-2</v>
      </c>
      <c r="CL159">
        <v>2.7184608783167211E-2</v>
      </c>
      <c r="CM159">
        <v>2.5897231945869591E-2</v>
      </c>
      <c r="CN159">
        <v>3.7376302967376471E-2</v>
      </c>
    </row>
    <row r="160" spans="21:92" x14ac:dyDescent="0.2">
      <c r="U160" s="86">
        <f t="shared" si="31"/>
        <v>16</v>
      </c>
      <c r="V160">
        <v>0.87224471379371782</v>
      </c>
      <c r="W160">
        <v>0.92703186512453684</v>
      </c>
      <c r="X160">
        <v>0.96061971898246934</v>
      </c>
      <c r="Y160">
        <v>0.95359880210193004</v>
      </c>
      <c r="Z160">
        <v>0.9680031406153331</v>
      </c>
      <c r="AA160" s="10">
        <f t="shared" si="32"/>
        <v>10</v>
      </c>
      <c r="AB160">
        <v>3.4273494362862152E-2</v>
      </c>
      <c r="AC160">
        <v>3.5815610066545787E-2</v>
      </c>
      <c r="AD160">
        <v>3.1037766277352011E-2</v>
      </c>
      <c r="AE160">
        <v>3.4818163050727262E-2</v>
      </c>
      <c r="AF160">
        <v>2.889663182004891E-2</v>
      </c>
      <c r="AG160" s="86">
        <f t="shared" si="33"/>
        <v>16</v>
      </c>
      <c r="AH160">
        <v>0.94797887619106724</v>
      </c>
      <c r="AI160">
        <v>0.95917213416751335</v>
      </c>
      <c r="AJ160">
        <v>0.9723511239933903</v>
      </c>
      <c r="AK160">
        <v>0.95331238292684772</v>
      </c>
      <c r="AL160">
        <v>0.9528249682613712</v>
      </c>
      <c r="AM160" s="10">
        <f t="shared" si="34"/>
        <v>10</v>
      </c>
      <c r="AN160">
        <v>3.9320581555522822E-2</v>
      </c>
      <c r="AO160">
        <v>4.4251978720069321E-2</v>
      </c>
      <c r="AP160">
        <v>1.3113713742333969E-2</v>
      </c>
      <c r="AQ160">
        <v>3.2175223312765247E-2</v>
      </c>
      <c r="AR160">
        <v>3.021864232718878E-2</v>
      </c>
      <c r="AS160" s="86">
        <f t="shared" si="35"/>
        <v>16</v>
      </c>
      <c r="AT160">
        <v>0.84123832376598273</v>
      </c>
      <c r="AU160">
        <v>0.88817550537314971</v>
      </c>
      <c r="AV160">
        <v>0.95047527254127739</v>
      </c>
      <c r="AW160">
        <v>0.95208709442672246</v>
      </c>
      <c r="AX160">
        <v>0.9814420836733686</v>
      </c>
      <c r="AY160" s="10">
        <f t="shared" si="36"/>
        <v>10</v>
      </c>
      <c r="AZ160">
        <v>2.8697773932031889E-2</v>
      </c>
      <c r="BA160">
        <v>2.452781005912295E-2</v>
      </c>
      <c r="BB160">
        <v>1.9781244992056642E-2</v>
      </c>
      <c r="BC160">
        <v>2.7100623720438529E-2</v>
      </c>
      <c r="BD160">
        <v>1.714594359213116E-2</v>
      </c>
      <c r="BE160" s="86">
        <f t="shared" si="37"/>
        <v>16</v>
      </c>
      <c r="BF160">
        <v>0.8701358206237636</v>
      </c>
      <c r="BG160">
        <v>0.90143053620051938</v>
      </c>
      <c r="BH160">
        <v>0.93435819972206124</v>
      </c>
      <c r="BI160">
        <v>0.93051021727618743</v>
      </c>
      <c r="BJ160">
        <v>0.98443481305090785</v>
      </c>
      <c r="BK160" s="10">
        <f t="shared" si="38"/>
        <v>10</v>
      </c>
      <c r="BL160">
        <v>3.339038233065051E-2</v>
      </c>
      <c r="BM160">
        <v>3.4108484727897292E-2</v>
      </c>
      <c r="BN160">
        <v>2.733437240772511E-2</v>
      </c>
      <c r="BO160">
        <v>3.076282336343493E-2</v>
      </c>
      <c r="BP160">
        <v>1.8382133216262669E-2</v>
      </c>
      <c r="BQ160" s="86">
        <f t="shared" si="39"/>
        <v>16</v>
      </c>
      <c r="BR160">
        <v>0.88397812904491768</v>
      </c>
      <c r="BS160">
        <v>0.90078458321524568</v>
      </c>
      <c r="BT160">
        <v>0.88915812681905992</v>
      </c>
      <c r="BU160">
        <v>0.96283874181752649</v>
      </c>
      <c r="BV160">
        <v>0.97248791903678433</v>
      </c>
      <c r="BW160" s="10">
        <f t="shared" si="40"/>
        <v>10</v>
      </c>
      <c r="BX160">
        <v>2.4108011434241659E-2</v>
      </c>
      <c r="BY160">
        <v>3.4552500008606331E-2</v>
      </c>
      <c r="BZ160">
        <v>3.141486950805096E-2</v>
      </c>
      <c r="CA160">
        <v>1.6399850815744559E-2</v>
      </c>
      <c r="CB160">
        <v>1.613880829790678E-2</v>
      </c>
      <c r="CC160" s="86">
        <f t="shared" si="41"/>
        <v>16</v>
      </c>
      <c r="CD160">
        <v>0.78437382289711055</v>
      </c>
      <c r="CE160">
        <v>0.77067251472632581</v>
      </c>
      <c r="CF160">
        <v>0.80393250066865773</v>
      </c>
      <c r="CG160">
        <v>0.9022020478521745</v>
      </c>
      <c r="CH160">
        <v>0.96366859102500968</v>
      </c>
      <c r="CI160" s="10">
        <f t="shared" si="42"/>
        <v>10</v>
      </c>
      <c r="CJ160">
        <v>2.2435877360599751E-2</v>
      </c>
      <c r="CK160">
        <v>2.6843314142228521E-2</v>
      </c>
      <c r="CL160">
        <v>2.718689657984746E-2</v>
      </c>
      <c r="CM160">
        <v>2.3651402224121008E-2</v>
      </c>
      <c r="CN160">
        <v>3.2201153328156408E-2</v>
      </c>
    </row>
    <row r="161" spans="21:92" x14ac:dyDescent="0.2">
      <c r="U161" s="86">
        <f t="shared" si="31"/>
        <v>17</v>
      </c>
      <c r="V161">
        <v>0.90783879520252153</v>
      </c>
      <c r="W161">
        <v>0.94828132989673442</v>
      </c>
      <c r="X161">
        <v>0.97443608528166903</v>
      </c>
      <c r="Y161">
        <v>0.96420613898536289</v>
      </c>
      <c r="Z161">
        <v>0.97871650650381881</v>
      </c>
      <c r="AA161" s="10">
        <f t="shared" si="32"/>
        <v>10.5</v>
      </c>
      <c r="AB161">
        <v>3.1090787214056601E-2</v>
      </c>
      <c r="AC161">
        <v>3.2674548241512572E-2</v>
      </c>
      <c r="AD161">
        <v>2.933396185372757E-2</v>
      </c>
      <c r="AE161">
        <v>3.1393439255373419E-2</v>
      </c>
      <c r="AF161">
        <v>2.6461752827246981E-2</v>
      </c>
      <c r="AG161" s="86">
        <f t="shared" si="33"/>
        <v>17</v>
      </c>
      <c r="AH161">
        <v>0.9642622381116891</v>
      </c>
      <c r="AI161">
        <v>0.97457332302060551</v>
      </c>
      <c r="AJ161">
        <v>0.97976680419053463</v>
      </c>
      <c r="AK161">
        <v>0.97016322622274154</v>
      </c>
      <c r="AL161">
        <v>0.96859707629265457</v>
      </c>
      <c r="AM161" s="10">
        <f t="shared" si="34"/>
        <v>10.5</v>
      </c>
      <c r="AN161">
        <v>3.9394796819529627E-2</v>
      </c>
      <c r="AO161">
        <v>4.2455934519714043E-2</v>
      </c>
      <c r="AP161">
        <v>1.1890622258400671E-2</v>
      </c>
      <c r="AQ161">
        <v>3.1415928552101333E-2</v>
      </c>
      <c r="AR161">
        <v>2.5322716396549611E-2</v>
      </c>
      <c r="AS161" s="86">
        <f t="shared" si="35"/>
        <v>17</v>
      </c>
      <c r="AT161">
        <v>0.86964470885903933</v>
      </c>
      <c r="AU161">
        <v>0.91297026984774909</v>
      </c>
      <c r="AV161">
        <v>0.95961751871795542</v>
      </c>
      <c r="AW161">
        <v>0.96216814413297325</v>
      </c>
      <c r="AX161">
        <v>0.98562357791447464</v>
      </c>
      <c r="AY161" s="10">
        <f t="shared" si="36"/>
        <v>10.5</v>
      </c>
      <c r="AZ161">
        <v>2.7227274384447601E-2</v>
      </c>
      <c r="BA161">
        <v>2.356329578232039E-2</v>
      </c>
      <c r="BB161">
        <v>1.602599273232792E-2</v>
      </c>
      <c r="BC161">
        <v>2.4756499040004751E-2</v>
      </c>
      <c r="BD161">
        <v>1.3280477144698179E-2</v>
      </c>
      <c r="BE161" s="86">
        <f t="shared" si="37"/>
        <v>17</v>
      </c>
      <c r="BF161">
        <v>0.90034491466958566</v>
      </c>
      <c r="BG161">
        <v>0.92490733545661508</v>
      </c>
      <c r="BH161">
        <v>0.95184798766166956</v>
      </c>
      <c r="BI161">
        <v>0.94736165184107057</v>
      </c>
      <c r="BJ161">
        <v>0.98682093214218791</v>
      </c>
      <c r="BK161" s="10">
        <f t="shared" si="38"/>
        <v>10.5</v>
      </c>
      <c r="BL161">
        <v>3.2792103808763018E-2</v>
      </c>
      <c r="BM161">
        <v>3.0309149481405381E-2</v>
      </c>
      <c r="BN161">
        <v>2.4650568702000521E-2</v>
      </c>
      <c r="BO161">
        <v>2.8919290166035911E-2</v>
      </c>
      <c r="BP161">
        <v>1.5599793474219401E-2</v>
      </c>
      <c r="BQ161" s="86">
        <f t="shared" si="39"/>
        <v>17</v>
      </c>
      <c r="BR161">
        <v>0.91425000790368482</v>
      </c>
      <c r="BS161">
        <v>0.92749422039082319</v>
      </c>
      <c r="BT161">
        <v>0.90811794804645563</v>
      </c>
      <c r="BU161">
        <v>0.97424495338217709</v>
      </c>
      <c r="BV161">
        <v>0.97498216639685975</v>
      </c>
      <c r="BW161" s="10">
        <f t="shared" si="40"/>
        <v>10.5</v>
      </c>
      <c r="BX161">
        <v>2.4438860490293129E-2</v>
      </c>
      <c r="BY161">
        <v>3.2603889820266359E-2</v>
      </c>
      <c r="BZ161">
        <v>3.0138052405895399E-2</v>
      </c>
      <c r="CA161">
        <v>1.480677036616038E-2</v>
      </c>
      <c r="CB161">
        <v>1.231391374742319E-2</v>
      </c>
      <c r="CC161" s="86">
        <f t="shared" si="41"/>
        <v>17</v>
      </c>
      <c r="CD161">
        <v>0.83303727564516405</v>
      </c>
      <c r="CE161">
        <v>0.8188308604142126</v>
      </c>
      <c r="CF161">
        <v>0.84460842212355491</v>
      </c>
      <c r="CG161">
        <v>0.92764070503882989</v>
      </c>
      <c r="CH161">
        <v>0.96824941916964102</v>
      </c>
      <c r="CI161" s="10">
        <f t="shared" si="42"/>
        <v>10.5</v>
      </c>
      <c r="CJ161">
        <v>2.309100963831329E-2</v>
      </c>
      <c r="CK161">
        <v>2.7020827988925931E-2</v>
      </c>
      <c r="CL161">
        <v>2.6905591160055951E-2</v>
      </c>
      <c r="CM161">
        <v>2.212057675811073E-2</v>
      </c>
      <c r="CN161">
        <v>2.723085611179216E-2</v>
      </c>
    </row>
    <row r="162" spans="21:92" x14ac:dyDescent="0.2">
      <c r="U162" s="86">
        <f t="shared" si="31"/>
        <v>18</v>
      </c>
      <c r="V162">
        <v>0.94063511336589434</v>
      </c>
      <c r="W162">
        <v>0.96656070952052175</v>
      </c>
      <c r="X162">
        <v>0.98630665664177974</v>
      </c>
      <c r="Y162">
        <v>0.97477234255844125</v>
      </c>
      <c r="Z162">
        <v>0.98832375436289166</v>
      </c>
      <c r="AA162" s="10">
        <f t="shared" si="32"/>
        <v>11</v>
      </c>
      <c r="AB162">
        <v>2.8536719391258202E-2</v>
      </c>
      <c r="AC162">
        <v>3.1187197370117881E-2</v>
      </c>
      <c r="AD162">
        <v>2.6832895101718119E-2</v>
      </c>
      <c r="AE162">
        <v>2.7914504620090409E-2</v>
      </c>
      <c r="AF162">
        <v>2.317659827739766E-2</v>
      </c>
      <c r="AG162" s="86">
        <f t="shared" si="33"/>
        <v>18</v>
      </c>
      <c r="AH162">
        <v>0.97830077816186489</v>
      </c>
      <c r="AI162">
        <v>0.98587917838724648</v>
      </c>
      <c r="AJ162">
        <v>0.98610213918094347</v>
      </c>
      <c r="AK162">
        <v>0.98396811324850164</v>
      </c>
      <c r="AL162">
        <v>0.98324236183195635</v>
      </c>
      <c r="AM162" s="10">
        <f t="shared" si="34"/>
        <v>11</v>
      </c>
      <c r="AN162">
        <v>3.9118823158475417E-2</v>
      </c>
      <c r="AO162">
        <v>3.907089486136589E-2</v>
      </c>
      <c r="AP162">
        <v>1.1127402379691171E-2</v>
      </c>
      <c r="AQ162">
        <v>2.9455667398383428E-2</v>
      </c>
      <c r="AR162">
        <v>2.0959657298136501E-2</v>
      </c>
      <c r="AS162" s="86">
        <f t="shared" si="35"/>
        <v>18</v>
      </c>
      <c r="AT162">
        <v>0.90579592775714279</v>
      </c>
      <c r="AU162">
        <v>0.93918983400637956</v>
      </c>
      <c r="AV162">
        <v>0.96965788005886011</v>
      </c>
      <c r="AW162">
        <v>0.97340336523994186</v>
      </c>
      <c r="AX162">
        <v>0.98857388320383777</v>
      </c>
      <c r="AY162" s="10">
        <f t="shared" si="36"/>
        <v>11</v>
      </c>
      <c r="AZ162">
        <v>2.6385239246069239E-2</v>
      </c>
      <c r="BA162">
        <v>2.3057964022113589E-2</v>
      </c>
      <c r="BB162">
        <v>1.349364531515339E-2</v>
      </c>
      <c r="BC162">
        <v>2.3500992849163869E-2</v>
      </c>
      <c r="BD162">
        <v>1.133808424161728E-2</v>
      </c>
      <c r="BE162" s="86">
        <f t="shared" si="37"/>
        <v>18</v>
      </c>
      <c r="BF162">
        <v>0.93154672545452821</v>
      </c>
      <c r="BG162">
        <v>0.94821608916580413</v>
      </c>
      <c r="BH162">
        <v>0.96828245044514327</v>
      </c>
      <c r="BI162">
        <v>0.96433937494082467</v>
      </c>
      <c r="BJ162">
        <v>0.98922398952803159</v>
      </c>
      <c r="BK162" s="10">
        <f t="shared" si="38"/>
        <v>11</v>
      </c>
      <c r="BL162">
        <v>3.1963779248777559E-2</v>
      </c>
      <c r="BM162">
        <v>2.7317358297318271E-2</v>
      </c>
      <c r="BN162">
        <v>2.1747943054873091E-2</v>
      </c>
      <c r="BO162">
        <v>2.6455248503468299E-2</v>
      </c>
      <c r="BP162">
        <v>1.4050076075453839E-2</v>
      </c>
      <c r="BQ162" s="86">
        <f t="shared" si="39"/>
        <v>18</v>
      </c>
      <c r="BR162">
        <v>0.94260870582347966</v>
      </c>
      <c r="BS162">
        <v>0.95195355851087093</v>
      </c>
      <c r="BT162">
        <v>0.93297067804027589</v>
      </c>
      <c r="BU162">
        <v>0.98329543174394318</v>
      </c>
      <c r="BV162">
        <v>0.9784716387635306</v>
      </c>
      <c r="BW162" s="10">
        <f t="shared" si="40"/>
        <v>11</v>
      </c>
      <c r="BX162">
        <v>2.5009870021236651E-2</v>
      </c>
      <c r="BY162">
        <v>3.0534029191402749E-2</v>
      </c>
      <c r="BZ162">
        <v>2.9024351139426391E-2</v>
      </c>
      <c r="CA162">
        <v>1.424829367717814E-2</v>
      </c>
      <c r="CB162">
        <v>1.093306879273254E-2</v>
      </c>
      <c r="CC162" s="86">
        <f t="shared" si="41"/>
        <v>18</v>
      </c>
      <c r="CD162">
        <v>0.88579781146020498</v>
      </c>
      <c r="CE162">
        <v>0.87387044997262242</v>
      </c>
      <c r="CF162">
        <v>0.89137190273700229</v>
      </c>
      <c r="CG162">
        <v>0.95191573152437459</v>
      </c>
      <c r="CH162">
        <v>0.97505948675044996</v>
      </c>
      <c r="CI162" s="10">
        <f t="shared" si="42"/>
        <v>11</v>
      </c>
      <c r="CJ162">
        <v>2.3733236872261941E-2</v>
      </c>
      <c r="CK162">
        <v>2.7206564689177089E-2</v>
      </c>
      <c r="CL162">
        <v>2.70689224649047E-2</v>
      </c>
      <c r="CM162">
        <v>2.054887682535568E-2</v>
      </c>
      <c r="CN162">
        <v>2.3680886697386501E-2</v>
      </c>
    </row>
    <row r="163" spans="21:92" x14ac:dyDescent="0.2">
      <c r="U163" s="86">
        <f t="shared" si="31"/>
        <v>19</v>
      </c>
      <c r="V163">
        <v>0.97115992144606134</v>
      </c>
      <c r="W163">
        <v>0.98322430734898736</v>
      </c>
      <c r="X163">
        <v>0.99472799681447399</v>
      </c>
      <c r="Y163">
        <v>0.98702414738173594</v>
      </c>
      <c r="Z163">
        <v>0.99532110171483312</v>
      </c>
      <c r="AA163" s="10">
        <f t="shared" si="32"/>
        <v>11.5</v>
      </c>
      <c r="AB163">
        <v>2.6404589176484479E-2</v>
      </c>
      <c r="AC163">
        <v>3.034280777216852E-2</v>
      </c>
      <c r="AD163">
        <v>2.3962330630195039E-2</v>
      </c>
      <c r="AE163">
        <v>2.428200106294862E-2</v>
      </c>
      <c r="AF163">
        <v>1.955466529112946E-2</v>
      </c>
      <c r="AG163" s="86">
        <f t="shared" si="33"/>
        <v>19</v>
      </c>
      <c r="AH163">
        <v>0.9895098872953012</v>
      </c>
      <c r="AI163">
        <v>0.99398857903293292</v>
      </c>
      <c r="AJ163">
        <v>0.99241431044640616</v>
      </c>
      <c r="AK163">
        <v>0.99387236162463521</v>
      </c>
      <c r="AL163">
        <v>0.99360931414682119</v>
      </c>
      <c r="AM163" s="10">
        <f t="shared" si="34"/>
        <v>11.5</v>
      </c>
      <c r="AN163">
        <v>3.8337038819927498E-2</v>
      </c>
      <c r="AO163">
        <v>3.4880147240343717E-2</v>
      </c>
      <c r="AP163">
        <v>1.007216249827878E-2</v>
      </c>
      <c r="AQ163">
        <v>2.6925246445597829E-2</v>
      </c>
      <c r="AR163">
        <v>1.7126218015386632E-2</v>
      </c>
      <c r="AS163" s="86">
        <f t="shared" si="35"/>
        <v>19</v>
      </c>
      <c r="AT163">
        <v>0.95101237132480831</v>
      </c>
      <c r="AU163">
        <v>0.96827282987036489</v>
      </c>
      <c r="AV163">
        <v>0.98279971955583223</v>
      </c>
      <c r="AW163">
        <v>0.98644179378137753</v>
      </c>
      <c r="AX163">
        <v>0.99276309227713611</v>
      </c>
      <c r="AY163" s="10">
        <f t="shared" si="36"/>
        <v>11.5</v>
      </c>
      <c r="AZ163">
        <v>2.575524140717967E-2</v>
      </c>
      <c r="BA163">
        <v>2.2708265047232119E-2</v>
      </c>
      <c r="BB163">
        <v>1.208978698725704E-2</v>
      </c>
      <c r="BC163">
        <v>2.2168803737587232E-2</v>
      </c>
      <c r="BD163">
        <v>1.0583899200292179E-2</v>
      </c>
      <c r="BE163" s="86">
        <f t="shared" si="37"/>
        <v>19</v>
      </c>
      <c r="BF163">
        <v>0.96508367774570003</v>
      </c>
      <c r="BG163">
        <v>0.9729109739861509</v>
      </c>
      <c r="BH163">
        <v>0.98413205851111651</v>
      </c>
      <c r="BI163">
        <v>0.98175687459675909</v>
      </c>
      <c r="BJ163">
        <v>0.99372162184786328</v>
      </c>
      <c r="BK163" s="10">
        <f t="shared" si="38"/>
        <v>11.5</v>
      </c>
      <c r="BL163">
        <v>3.0925244519228519E-2</v>
      </c>
      <c r="BM163">
        <v>2.4888913987776391E-2</v>
      </c>
      <c r="BN163">
        <v>1.868110571489507E-2</v>
      </c>
      <c r="BO163">
        <v>2.3717371173342591E-2</v>
      </c>
      <c r="BP163">
        <v>1.272373061380567E-2</v>
      </c>
      <c r="BQ163" s="86">
        <f t="shared" si="39"/>
        <v>19</v>
      </c>
      <c r="BR163">
        <v>0.97118168910780756</v>
      </c>
      <c r="BS163">
        <v>0.97588841267491311</v>
      </c>
      <c r="BT163">
        <v>0.96442559480615453</v>
      </c>
      <c r="BU163">
        <v>0.99170472917309394</v>
      </c>
      <c r="BV163">
        <v>0.98798748348486587</v>
      </c>
      <c r="BW163" s="10">
        <f t="shared" si="40"/>
        <v>11.5</v>
      </c>
      <c r="BX163">
        <v>2.5545124066982079E-2</v>
      </c>
      <c r="BY163">
        <v>2.8508266492187781E-2</v>
      </c>
      <c r="BZ163">
        <v>2.7947594754966359E-2</v>
      </c>
      <c r="CA163">
        <v>1.406607701812169E-2</v>
      </c>
      <c r="CB163">
        <v>1.0694307284786099E-2</v>
      </c>
      <c r="CC163" s="86">
        <f t="shared" si="41"/>
        <v>19</v>
      </c>
      <c r="CD163">
        <v>0.94241282309445285</v>
      </c>
      <c r="CE163">
        <v>0.93635515511554357</v>
      </c>
      <c r="CF163">
        <v>0.94520428899438969</v>
      </c>
      <c r="CG163">
        <v>0.9759027639647796</v>
      </c>
      <c r="CH163">
        <v>0.9862345846707008</v>
      </c>
      <c r="CI163" s="10">
        <f t="shared" si="42"/>
        <v>11.5</v>
      </c>
      <c r="CJ163">
        <v>2.454000140689179E-2</v>
      </c>
      <c r="CK163">
        <v>2.7299416036606069E-2</v>
      </c>
      <c r="CL163">
        <v>2.6831766744303188E-2</v>
      </c>
      <c r="CM163">
        <v>1.901440700955034E-2</v>
      </c>
      <c r="CN163">
        <v>2.078898400142323E-2</v>
      </c>
    </row>
    <row r="164" spans="21:92" x14ac:dyDescent="0.2">
      <c r="U164" s="86">
        <f t="shared" si="31"/>
        <v>20</v>
      </c>
      <c r="V164">
        <v>1</v>
      </c>
      <c r="W164">
        <v>1</v>
      </c>
      <c r="X164">
        <v>1</v>
      </c>
      <c r="Y164">
        <v>1</v>
      </c>
      <c r="Z164">
        <v>1</v>
      </c>
      <c r="AA164" s="10">
        <f t="shared" si="32"/>
        <v>12</v>
      </c>
      <c r="AB164">
        <v>2.455832977668836E-2</v>
      </c>
      <c r="AC164">
        <v>3.0049249789261059E-2</v>
      </c>
      <c r="AD164">
        <v>2.0747874897597579E-2</v>
      </c>
      <c r="AE164">
        <v>2.0499880476614399E-2</v>
      </c>
      <c r="AF164">
        <v>1.560230705806024E-2</v>
      </c>
      <c r="AG164" s="86">
        <f t="shared" si="33"/>
        <v>20</v>
      </c>
      <c r="AH164">
        <v>1</v>
      </c>
      <c r="AI164">
        <v>1</v>
      </c>
      <c r="AJ164">
        <v>1</v>
      </c>
      <c r="AK164">
        <v>1</v>
      </c>
      <c r="AL164">
        <v>1</v>
      </c>
      <c r="AM164" s="10">
        <f t="shared" si="34"/>
        <v>12</v>
      </c>
      <c r="AN164">
        <v>3.7039297396695037E-2</v>
      </c>
      <c r="AO164">
        <v>2.9891436580503861E-2</v>
      </c>
      <c r="AP164">
        <v>8.2460569651912896E-3</v>
      </c>
      <c r="AQ164">
        <v>2.3921023182217841E-2</v>
      </c>
      <c r="AR164">
        <v>1.3801871686879991E-2</v>
      </c>
      <c r="AS164" s="86">
        <f t="shared" si="35"/>
        <v>20</v>
      </c>
      <c r="AT164">
        <v>1</v>
      </c>
      <c r="AU164">
        <v>1</v>
      </c>
      <c r="AV164">
        <v>1</v>
      </c>
      <c r="AW164">
        <v>1</v>
      </c>
      <c r="AX164">
        <v>1</v>
      </c>
      <c r="AY164" s="10">
        <f t="shared" si="36"/>
        <v>12</v>
      </c>
      <c r="AZ164">
        <v>2.5224289656624141E-2</v>
      </c>
      <c r="BA164">
        <v>2.2440318207922569E-2</v>
      </c>
      <c r="BB164">
        <v>1.138254764534815E-2</v>
      </c>
      <c r="BC164">
        <v>2.061928205952647E-2</v>
      </c>
      <c r="BD164">
        <v>1.0556741127038289E-2</v>
      </c>
      <c r="BE164" s="86">
        <f t="shared" si="37"/>
        <v>20</v>
      </c>
      <c r="BF164">
        <v>1</v>
      </c>
      <c r="BG164">
        <v>1</v>
      </c>
      <c r="BH164">
        <v>1</v>
      </c>
      <c r="BI164">
        <v>1</v>
      </c>
      <c r="BJ164">
        <v>1</v>
      </c>
      <c r="BK164" s="10">
        <f t="shared" si="38"/>
        <v>12</v>
      </c>
      <c r="BL164">
        <v>2.9771848728584339E-2</v>
      </c>
      <c r="BM164">
        <v>2.2838690500377481E-2</v>
      </c>
      <c r="BN164">
        <v>1.547169560450695E-2</v>
      </c>
      <c r="BO164">
        <v>2.0784212409601859E-2</v>
      </c>
      <c r="BP164">
        <v>1.119808406147176E-2</v>
      </c>
      <c r="BQ164" s="86">
        <f t="shared" si="39"/>
        <v>20</v>
      </c>
      <c r="BR164">
        <v>1</v>
      </c>
      <c r="BS164">
        <v>1</v>
      </c>
      <c r="BT164">
        <v>0.99999999999999989</v>
      </c>
      <c r="BU164">
        <v>0.99999999999999989</v>
      </c>
      <c r="BV164">
        <v>1</v>
      </c>
      <c r="BW164" s="10">
        <f t="shared" si="40"/>
        <v>12</v>
      </c>
      <c r="BX164">
        <v>2.606405458412555E-2</v>
      </c>
      <c r="BY164">
        <v>2.650913824962059E-2</v>
      </c>
      <c r="BZ164">
        <v>2.6890012642555781E-2</v>
      </c>
      <c r="CA164">
        <v>1.423915306191365E-2</v>
      </c>
      <c r="CB164">
        <v>1.1343156115129481E-2</v>
      </c>
      <c r="CC164" s="86">
        <f t="shared" si="41"/>
        <v>20</v>
      </c>
      <c r="CD164">
        <v>1</v>
      </c>
      <c r="CE164">
        <v>1</v>
      </c>
      <c r="CF164">
        <v>1</v>
      </c>
      <c r="CG164">
        <v>1</v>
      </c>
      <c r="CH164">
        <v>0.99999999999999989</v>
      </c>
      <c r="CI164" s="10">
        <f t="shared" si="42"/>
        <v>12</v>
      </c>
      <c r="CJ164">
        <v>2.530137421697469E-2</v>
      </c>
      <c r="CK164">
        <v>2.731863730479735E-2</v>
      </c>
      <c r="CL164">
        <v>2.6495897414934529E-2</v>
      </c>
      <c r="CM164">
        <v>1.7494928003460159E-2</v>
      </c>
      <c r="CN164">
        <v>1.8462936799957651E-2</v>
      </c>
    </row>
    <row r="165" spans="21:92" x14ac:dyDescent="0.2">
      <c r="U165" s="86">
        <f t="shared" si="31"/>
        <v>21</v>
      </c>
      <c r="AA165" s="10">
        <f t="shared" si="32"/>
        <v>12.5</v>
      </c>
      <c r="AB165">
        <v>2.327511408851974E-2</v>
      </c>
      <c r="AC165">
        <v>2.952312027977742E-2</v>
      </c>
      <c r="AD165">
        <v>1.7704287448984848E-2</v>
      </c>
      <c r="AE165">
        <v>1.679419787153244E-2</v>
      </c>
      <c r="AF165">
        <v>1.177292851690467E-2</v>
      </c>
      <c r="AG165" s="86">
        <f t="shared" si="33"/>
        <v>21</v>
      </c>
      <c r="AM165" s="10">
        <f t="shared" si="34"/>
        <v>12.5</v>
      </c>
      <c r="AN165">
        <v>3.4598475665615983E-2</v>
      </c>
      <c r="AO165">
        <v>2.4647121836936708E-2</v>
      </c>
      <c r="AP165">
        <v>7.2936396886395718E-3</v>
      </c>
      <c r="AQ165">
        <v>2.081744682436356E-2</v>
      </c>
      <c r="AR165">
        <v>1.1328710633290721E-2</v>
      </c>
      <c r="AS165" s="86">
        <f t="shared" si="35"/>
        <v>21</v>
      </c>
      <c r="AY165" s="10">
        <f t="shared" si="36"/>
        <v>12.5</v>
      </c>
      <c r="AZ165">
        <v>2.4206259321015111E-2</v>
      </c>
      <c r="BA165">
        <v>2.2011728675669969E-2</v>
      </c>
      <c r="BB165">
        <v>8.7270719101302102E-3</v>
      </c>
      <c r="BC165">
        <v>1.8010569549189229E-2</v>
      </c>
      <c r="BD165">
        <v>1.01344697055149E-2</v>
      </c>
      <c r="BE165" s="86">
        <f t="shared" si="37"/>
        <v>21</v>
      </c>
      <c r="BK165" s="10">
        <f t="shared" si="38"/>
        <v>12.5</v>
      </c>
      <c r="BL165">
        <v>2.8237626034245809E-2</v>
      </c>
      <c r="BM165">
        <v>2.1227139114798989E-2</v>
      </c>
      <c r="BN165">
        <v>1.2496765638332061E-2</v>
      </c>
      <c r="BO165">
        <v>1.799039594949595E-2</v>
      </c>
      <c r="BP165">
        <v>8.4832354474662225E-3</v>
      </c>
      <c r="BQ165" s="86">
        <f t="shared" si="39"/>
        <v>21</v>
      </c>
      <c r="BW165" s="10">
        <f t="shared" si="40"/>
        <v>12.5</v>
      </c>
      <c r="BX165">
        <v>2.6092695705594041E-2</v>
      </c>
      <c r="BY165">
        <v>2.462767916557955E-2</v>
      </c>
      <c r="BZ165">
        <v>2.540163330444219E-2</v>
      </c>
      <c r="CA165">
        <v>1.4524348940882529E-2</v>
      </c>
      <c r="CB165">
        <v>1.191709405022892E-2</v>
      </c>
      <c r="CC165" s="86">
        <f t="shared" si="41"/>
        <v>21</v>
      </c>
      <c r="CI165" s="10">
        <f t="shared" si="42"/>
        <v>12.5</v>
      </c>
      <c r="CJ165">
        <v>2.555493055198008E-2</v>
      </c>
      <c r="CK165">
        <v>2.6748249161545268E-2</v>
      </c>
      <c r="CL165">
        <v>2.5530496703158649E-2</v>
      </c>
      <c r="CM165">
        <v>1.6249167834105589E-2</v>
      </c>
      <c r="CN165">
        <v>1.645519378670135E-2</v>
      </c>
    </row>
    <row r="166" spans="21:92" x14ac:dyDescent="0.2">
      <c r="U166" s="86">
        <f t="shared" si="31"/>
        <v>22</v>
      </c>
      <c r="AA166" s="10">
        <f t="shared" si="32"/>
        <v>13</v>
      </c>
      <c r="AB166">
        <v>2.2197706312276511E-2</v>
      </c>
      <c r="AC166">
        <v>2.85029935409182E-2</v>
      </c>
      <c r="AD166">
        <v>1.503816333097539E-2</v>
      </c>
      <c r="AE166">
        <v>1.351410790373583E-2</v>
      </c>
      <c r="AF166">
        <v>8.4555014630018615E-3</v>
      </c>
      <c r="AG166" s="86">
        <f t="shared" si="33"/>
        <v>22</v>
      </c>
      <c r="AM166" s="10">
        <f t="shared" si="34"/>
        <v>13</v>
      </c>
      <c r="AN166">
        <v>3.1602761805159911E-2</v>
      </c>
      <c r="AO166">
        <v>1.9948961307202001E-2</v>
      </c>
      <c r="AP166">
        <v>6.5864724025310999E-3</v>
      </c>
      <c r="AQ166">
        <v>1.7988820184097271E-2</v>
      </c>
      <c r="AR166">
        <v>9.1425018486605177E-3</v>
      </c>
      <c r="AS166" s="86">
        <f t="shared" si="35"/>
        <v>22</v>
      </c>
      <c r="AY166" s="10">
        <f t="shared" si="36"/>
        <v>13</v>
      </c>
      <c r="AZ166">
        <v>2.295386197892554E-2</v>
      </c>
      <c r="BA166">
        <v>2.1461006714602548E-2</v>
      </c>
      <c r="BB166">
        <v>6.1555183759836344E-3</v>
      </c>
      <c r="BC166">
        <v>1.517346509591775E-2</v>
      </c>
      <c r="BD166">
        <v>8.8158596085623712E-3</v>
      </c>
      <c r="BE166" s="86">
        <f t="shared" si="37"/>
        <v>22</v>
      </c>
      <c r="BK166" s="10">
        <f t="shared" si="38"/>
        <v>13</v>
      </c>
      <c r="BL166">
        <v>2.6572818237676109E-2</v>
      </c>
      <c r="BM166">
        <v>1.9687404482728779E-2</v>
      </c>
      <c r="BN166">
        <v>9.9999344683038734E-3</v>
      </c>
      <c r="BO166">
        <v>1.546822617437691E-2</v>
      </c>
      <c r="BP166">
        <v>5.720343979171762E-3</v>
      </c>
      <c r="BQ166" s="86">
        <f t="shared" si="39"/>
        <v>22</v>
      </c>
      <c r="BW166" s="10">
        <f t="shared" si="40"/>
        <v>13</v>
      </c>
      <c r="BX166">
        <v>2.5902421535225879E-2</v>
      </c>
      <c r="BY166">
        <v>2.2845496239556951E-2</v>
      </c>
      <c r="BZ166">
        <v>2.36737531544211E-2</v>
      </c>
      <c r="CA166">
        <v>1.461293009400845E-2</v>
      </c>
      <c r="CB166">
        <v>1.205582402861086E-2</v>
      </c>
      <c r="CC166" s="86">
        <f t="shared" si="41"/>
        <v>22</v>
      </c>
      <c r="CI166" s="10">
        <f t="shared" si="42"/>
        <v>13</v>
      </c>
      <c r="CJ166">
        <v>2.572253809021282E-2</v>
      </c>
      <c r="CK166">
        <v>2.6086516727947869E-2</v>
      </c>
      <c r="CL166">
        <v>2.447685228580326E-2</v>
      </c>
      <c r="CM166">
        <v>1.5151804920098729E-2</v>
      </c>
      <c r="CN166">
        <v>1.4375821890414199E-2</v>
      </c>
    </row>
    <row r="167" spans="21:92" x14ac:dyDescent="0.2">
      <c r="U167" s="86">
        <f t="shared" si="31"/>
        <v>23</v>
      </c>
      <c r="AA167" s="10">
        <f t="shared" si="32"/>
        <v>13.5</v>
      </c>
      <c r="AB167">
        <v>2.142406545983469E-2</v>
      </c>
      <c r="AC167">
        <v>2.6906245782124211E-2</v>
      </c>
      <c r="AD167">
        <v>1.277760880907078E-2</v>
      </c>
      <c r="AE167">
        <v>1.067085191674823E-2</v>
      </c>
      <c r="AF167">
        <v>5.6644018099562526E-3</v>
      </c>
      <c r="AG167" s="86">
        <f t="shared" si="33"/>
        <v>23</v>
      </c>
      <c r="AM167" s="10">
        <f t="shared" si="34"/>
        <v>13.5</v>
      </c>
      <c r="AN167">
        <v>2.8057750365132819E-2</v>
      </c>
      <c r="AO167">
        <v>1.5819734592999131E-2</v>
      </c>
      <c r="AP167">
        <v>5.6852045471966206E-3</v>
      </c>
      <c r="AQ167">
        <v>1.5491059966869379E-2</v>
      </c>
      <c r="AR167">
        <v>7.2548153800897526E-3</v>
      </c>
      <c r="AS167" s="86">
        <f t="shared" si="35"/>
        <v>23</v>
      </c>
      <c r="AY167" s="10">
        <f t="shared" si="36"/>
        <v>13.5</v>
      </c>
      <c r="AZ167">
        <v>2.1199733089641331E-2</v>
      </c>
      <c r="BA167">
        <v>2.0677779389093889E-2</v>
      </c>
      <c r="BB167">
        <v>4.4772197505649949E-3</v>
      </c>
      <c r="BC167">
        <v>1.2198285089287379E-2</v>
      </c>
      <c r="BD167">
        <v>6.8431068289117134E-3</v>
      </c>
      <c r="BE167" s="86">
        <f t="shared" si="37"/>
        <v>23</v>
      </c>
      <c r="BK167" s="10">
        <f t="shared" si="38"/>
        <v>13.5</v>
      </c>
      <c r="BL167">
        <v>2.466902330115869E-2</v>
      </c>
      <c r="BM167">
        <v>1.8254638428960659E-2</v>
      </c>
      <c r="BN167">
        <v>8.0537653387148505E-3</v>
      </c>
      <c r="BO167">
        <v>1.3326976131084311E-2</v>
      </c>
      <c r="BP167">
        <v>3.2091370233080551E-3</v>
      </c>
      <c r="BQ167" s="86">
        <f t="shared" si="39"/>
        <v>23</v>
      </c>
      <c r="BW167" s="10">
        <f t="shared" si="40"/>
        <v>13.5</v>
      </c>
      <c r="BX167">
        <v>2.523262956770898E-2</v>
      </c>
      <c r="BY167">
        <v>2.122768208928905E-2</v>
      </c>
      <c r="BZ167">
        <v>2.148440415623994E-2</v>
      </c>
      <c r="CA167">
        <v>1.4493293453646271E-2</v>
      </c>
      <c r="CB167">
        <v>1.171808175433791E-2</v>
      </c>
      <c r="CC167" s="86">
        <f t="shared" si="41"/>
        <v>23</v>
      </c>
      <c r="CI167" s="10">
        <f t="shared" si="42"/>
        <v>13.5</v>
      </c>
      <c r="CJ167">
        <v>2.5626458677782332E-2</v>
      </c>
      <c r="CK167">
        <v>2.5179509266901511E-2</v>
      </c>
      <c r="CL167">
        <v>2.3065197867561241E-2</v>
      </c>
      <c r="CM167">
        <v>1.4422990955520999E-2</v>
      </c>
      <c r="CN167">
        <v>1.221314854267847E-2</v>
      </c>
    </row>
    <row r="168" spans="21:92" x14ac:dyDescent="0.2">
      <c r="U168" s="86">
        <f t="shared" si="31"/>
        <v>24</v>
      </c>
      <c r="AA168" s="10">
        <f t="shared" si="32"/>
        <v>14</v>
      </c>
      <c r="AB168">
        <v>2.094386680606479E-2</v>
      </c>
      <c r="AC168">
        <v>2.4497815086047769E-2</v>
      </c>
      <c r="AD168">
        <v>1.126785276825034E-2</v>
      </c>
      <c r="AE168">
        <v>9.035803767322461E-3</v>
      </c>
      <c r="AF168">
        <v>4.3510582475671366E-3</v>
      </c>
      <c r="AG168" s="86">
        <f t="shared" si="33"/>
        <v>24</v>
      </c>
      <c r="AM168" s="10">
        <f t="shared" si="34"/>
        <v>14</v>
      </c>
      <c r="AN168">
        <v>2.3795206156952461E-2</v>
      </c>
      <c r="AO168">
        <v>1.310773630320684E-2</v>
      </c>
      <c r="AP168">
        <v>4.3439262112784432E-3</v>
      </c>
      <c r="AQ168">
        <v>1.369884375012081E-2</v>
      </c>
      <c r="AR168">
        <v>6.1517208344728071E-3</v>
      </c>
      <c r="AS168" s="86">
        <f t="shared" si="35"/>
        <v>24</v>
      </c>
      <c r="AY168" s="10">
        <f t="shared" si="36"/>
        <v>14</v>
      </c>
      <c r="AZ168">
        <v>1.921463452812992E-2</v>
      </c>
      <c r="BA168">
        <v>1.9643241838748351E-2</v>
      </c>
      <c r="BB168">
        <v>4.2202851126807448E-3</v>
      </c>
      <c r="BC168">
        <v>9.7732997939666659E-3</v>
      </c>
      <c r="BD168">
        <v>4.476020335670068E-3</v>
      </c>
      <c r="BE168" s="86">
        <f t="shared" si="37"/>
        <v>24</v>
      </c>
      <c r="BK168" s="10">
        <f t="shared" si="38"/>
        <v>14</v>
      </c>
      <c r="BL168">
        <v>2.266659696973258E-2</v>
      </c>
      <c r="BM168">
        <v>1.7023406089432778E-2</v>
      </c>
      <c r="BN168">
        <v>7.4556626993999772E-3</v>
      </c>
      <c r="BO168">
        <v>1.1872825165416981E-2</v>
      </c>
      <c r="BP168">
        <v>1.690954174724536E-3</v>
      </c>
      <c r="BQ168" s="86">
        <f t="shared" si="39"/>
        <v>24</v>
      </c>
      <c r="BW168" s="10">
        <f t="shared" si="40"/>
        <v>14</v>
      </c>
      <c r="BX168">
        <v>2.4166150168355091E-2</v>
      </c>
      <c r="BY168">
        <v>1.9889321060600831E-2</v>
      </c>
      <c r="BZ168">
        <v>1.897825726957807E-2</v>
      </c>
      <c r="CA168">
        <v>1.37179766992884E-2</v>
      </c>
      <c r="CB168">
        <v>1.0575154048092089E-2</v>
      </c>
      <c r="CC168" s="86">
        <f t="shared" si="41"/>
        <v>24</v>
      </c>
      <c r="CI168" s="10">
        <f t="shared" si="42"/>
        <v>14</v>
      </c>
      <c r="CJ168">
        <v>2.5384677337154191E-2</v>
      </c>
      <c r="CK168">
        <v>2.4256374549449199E-2</v>
      </c>
      <c r="CL168">
        <v>2.1873575740757739E-2</v>
      </c>
      <c r="CM168">
        <v>1.399406116501326E-2</v>
      </c>
      <c r="CN168">
        <v>1.0018397766335421E-2</v>
      </c>
    </row>
    <row r="169" spans="21:92" x14ac:dyDescent="0.2">
      <c r="U169" s="86">
        <f t="shared" si="31"/>
        <v>25</v>
      </c>
      <c r="AA169" s="10">
        <f t="shared" si="32"/>
        <v>14.5</v>
      </c>
      <c r="AB169">
        <v>2.0554026004925788E-2</v>
      </c>
      <c r="AC169">
        <v>2.1910815075159101E-2</v>
      </c>
      <c r="AD169">
        <v>1.0026565089623509E-2</v>
      </c>
      <c r="AE169">
        <v>7.8294661739169297E-3</v>
      </c>
      <c r="AF169">
        <v>3.7793484259639599E-3</v>
      </c>
      <c r="AG169" s="86">
        <f t="shared" si="33"/>
        <v>25</v>
      </c>
      <c r="AM169" s="10">
        <f t="shared" si="34"/>
        <v>14.5</v>
      </c>
      <c r="AN169">
        <v>1.9621347649343628E-2</v>
      </c>
      <c r="AO169">
        <v>1.1203567267707571E-2</v>
      </c>
      <c r="AP169">
        <v>2.95836490755385E-3</v>
      </c>
      <c r="AQ169">
        <v>1.2222546887955821E-2</v>
      </c>
      <c r="AR169">
        <v>5.6134878910481254E-3</v>
      </c>
      <c r="AS169" s="86">
        <f t="shared" si="35"/>
        <v>25</v>
      </c>
      <c r="AY169" s="10">
        <f t="shared" si="36"/>
        <v>14.5</v>
      </c>
      <c r="AZ169">
        <v>1.7097791526005358E-2</v>
      </c>
      <c r="BA169">
        <v>1.84847859564021E-2</v>
      </c>
      <c r="BB169">
        <v>4.9315503621405223E-3</v>
      </c>
      <c r="BC169">
        <v>7.9767623394976124E-3</v>
      </c>
      <c r="BD169">
        <v>3.3454300593332999E-3</v>
      </c>
      <c r="BE169" s="86">
        <f t="shared" si="37"/>
        <v>25</v>
      </c>
      <c r="BK169" s="10">
        <f t="shared" si="38"/>
        <v>14.5</v>
      </c>
      <c r="BL169">
        <v>2.063684750401475E-2</v>
      </c>
      <c r="BM169">
        <v>1.5897589009953601E-2</v>
      </c>
      <c r="BN169">
        <v>7.3906315570477317E-3</v>
      </c>
      <c r="BO169">
        <v>1.0718713129559279E-2</v>
      </c>
      <c r="BP169">
        <v>1.287858080914112E-3</v>
      </c>
      <c r="BQ169" s="86">
        <f t="shared" si="39"/>
        <v>25</v>
      </c>
      <c r="BW169" s="10">
        <f t="shared" si="40"/>
        <v>14.5</v>
      </c>
      <c r="BX169">
        <v>2.286355720723213E-2</v>
      </c>
      <c r="BY169">
        <v>1.867067364363733E-2</v>
      </c>
      <c r="BZ169">
        <v>1.6327780869559341E-2</v>
      </c>
      <c r="CA169">
        <v>1.264518700158042E-2</v>
      </c>
      <c r="CB169">
        <v>8.7358507783841174E-3</v>
      </c>
      <c r="CC169" s="86">
        <f t="shared" si="41"/>
        <v>25</v>
      </c>
      <c r="CI169" s="10">
        <f t="shared" si="42"/>
        <v>14.5</v>
      </c>
      <c r="CJ169">
        <v>2.5007561111083852E-2</v>
      </c>
      <c r="CK169">
        <v>2.3306066190153001E-2</v>
      </c>
      <c r="CL169">
        <v>2.0576151400629291E-2</v>
      </c>
      <c r="CM169">
        <v>1.3867377743090679E-2</v>
      </c>
      <c r="CN169">
        <v>7.9175355544533477E-3</v>
      </c>
    </row>
    <row r="170" spans="21:92" x14ac:dyDescent="0.2">
      <c r="U170" s="86">
        <f t="shared" si="31"/>
        <v>26</v>
      </c>
      <c r="AA170" s="10">
        <f t="shared" si="32"/>
        <v>15</v>
      </c>
      <c r="AB170">
        <v>2.0240629638655059E-2</v>
      </c>
      <c r="AC170">
        <v>1.9146429153678989E-2</v>
      </c>
      <c r="AD170">
        <v>9.0838426990472333E-3</v>
      </c>
      <c r="AE170">
        <v>7.0694767423054106E-3</v>
      </c>
      <c r="AF170">
        <v>3.8747329375331458E-3</v>
      </c>
      <c r="AG170" s="86">
        <f t="shared" si="33"/>
        <v>26</v>
      </c>
      <c r="AM170" s="10">
        <f t="shared" si="34"/>
        <v>15</v>
      </c>
      <c r="AN170">
        <v>1.556384970109634E-2</v>
      </c>
      <c r="AO170">
        <v>9.9935545777893441E-3</v>
      </c>
      <c r="AP170">
        <v>2.437643958196766E-3</v>
      </c>
      <c r="AQ170">
        <v>1.1177432110684379E-2</v>
      </c>
      <c r="AR170">
        <v>5.693502434743601E-3</v>
      </c>
      <c r="AS170" s="86">
        <f t="shared" si="35"/>
        <v>26</v>
      </c>
      <c r="AY170" s="10">
        <f t="shared" si="36"/>
        <v>15</v>
      </c>
      <c r="AZ170">
        <v>1.547933746863423E-2</v>
      </c>
      <c r="BA170">
        <v>1.716600885563872E-2</v>
      </c>
      <c r="BB170">
        <v>5.7312880698836234E-3</v>
      </c>
      <c r="BC170">
        <v>6.6556088671974991E-3</v>
      </c>
      <c r="BD170">
        <v>3.2086094204290252E-3</v>
      </c>
      <c r="BE170" s="86">
        <f t="shared" si="37"/>
        <v>26</v>
      </c>
      <c r="BK170" s="10">
        <f t="shared" si="38"/>
        <v>15</v>
      </c>
      <c r="BL170">
        <v>1.8928279325297639E-2</v>
      </c>
      <c r="BM170">
        <v>1.498920070726332E-2</v>
      </c>
      <c r="BN170">
        <v>7.9876064802437679E-3</v>
      </c>
      <c r="BO170">
        <v>1.0053189267007099E-2</v>
      </c>
      <c r="BP170">
        <v>1.36047824064398E-3</v>
      </c>
      <c r="BQ170" s="86">
        <f t="shared" si="39"/>
        <v>26</v>
      </c>
      <c r="BW170" s="10">
        <f t="shared" si="40"/>
        <v>15</v>
      </c>
      <c r="BX170">
        <v>2.1296014164353911E-2</v>
      </c>
      <c r="BY170">
        <v>1.764064294822737E-2</v>
      </c>
      <c r="BZ170">
        <v>1.393683213286909E-2</v>
      </c>
      <c r="CA170">
        <v>1.1241943351038491E-2</v>
      </c>
      <c r="CB170">
        <v>6.6024542252707298E-3</v>
      </c>
      <c r="CC170" s="86">
        <f t="shared" si="41"/>
        <v>26</v>
      </c>
      <c r="CI170" s="10">
        <f t="shared" si="42"/>
        <v>15</v>
      </c>
      <c r="CJ170">
        <v>2.4651695193287321E-2</v>
      </c>
      <c r="CK170">
        <v>2.2706130797114692E-2</v>
      </c>
      <c r="CL170">
        <v>1.9706374637884522E-2</v>
      </c>
      <c r="CM170">
        <v>1.38630213880741E-2</v>
      </c>
      <c r="CN170">
        <v>5.9695380325463423E-3</v>
      </c>
    </row>
    <row r="171" spans="21:92" x14ac:dyDescent="0.2">
      <c r="U171" s="86">
        <f t="shared" si="31"/>
        <v>27</v>
      </c>
      <c r="AA171" s="10">
        <f t="shared" si="32"/>
        <v>15.5</v>
      </c>
      <c r="AB171">
        <v>1.9912063296174402E-2</v>
      </c>
      <c r="AC171">
        <v>1.6536907612146452E-2</v>
      </c>
      <c r="AD171">
        <v>8.4939873227991951E-3</v>
      </c>
      <c r="AE171">
        <v>6.5779772514315167E-3</v>
      </c>
      <c r="AF171">
        <v>4.6311631483579368E-3</v>
      </c>
      <c r="AG171" s="86">
        <f t="shared" si="33"/>
        <v>27</v>
      </c>
      <c r="AM171" s="10">
        <f t="shared" si="34"/>
        <v>15.5</v>
      </c>
      <c r="AN171">
        <v>1.262618823145573E-2</v>
      </c>
      <c r="AO171">
        <v>9.6618295141008437E-3</v>
      </c>
      <c r="AP171">
        <v>2.6332302399419108E-3</v>
      </c>
      <c r="AQ171">
        <v>1.051321797330112E-2</v>
      </c>
      <c r="AR171">
        <v>6.6290870890433704E-3</v>
      </c>
      <c r="AS171" s="86">
        <f t="shared" si="35"/>
        <v>27</v>
      </c>
      <c r="AY171" s="10">
        <f t="shared" si="36"/>
        <v>15.5</v>
      </c>
      <c r="AZ171">
        <v>1.403195063189859E-2</v>
      </c>
      <c r="BA171">
        <v>1.5770628011996021E-2</v>
      </c>
      <c r="BB171">
        <v>6.22894252932481E-3</v>
      </c>
      <c r="BC171">
        <v>5.847955133533366E-3</v>
      </c>
      <c r="BD171">
        <v>3.699267678867644E-3</v>
      </c>
      <c r="BE171" s="86">
        <f t="shared" si="37"/>
        <v>27</v>
      </c>
      <c r="BK171" s="10">
        <f t="shared" si="38"/>
        <v>15.5</v>
      </c>
      <c r="BL171">
        <v>1.7418250862747401E-2</v>
      </c>
      <c r="BM171">
        <v>1.422030923669387E-2</v>
      </c>
      <c r="BN171">
        <v>8.7187386995094211E-3</v>
      </c>
      <c r="BO171">
        <v>9.6330474743928189E-3</v>
      </c>
      <c r="BP171">
        <v>1.73488239303868E-3</v>
      </c>
      <c r="BQ171" s="86">
        <f t="shared" si="39"/>
        <v>27</v>
      </c>
      <c r="BW171" s="10">
        <f t="shared" si="40"/>
        <v>15.5</v>
      </c>
      <c r="BX171">
        <v>1.9670932929590729E-2</v>
      </c>
      <c r="BY171">
        <v>1.6672351846354239E-2</v>
      </c>
      <c r="BZ171">
        <v>1.176780337446828E-2</v>
      </c>
      <c r="CA171">
        <v>9.65015629998771E-3</v>
      </c>
      <c r="CB171">
        <v>4.3253171219304644E-3</v>
      </c>
      <c r="CC171" s="86">
        <f t="shared" si="41"/>
        <v>27</v>
      </c>
      <c r="CI171" s="10">
        <f t="shared" si="42"/>
        <v>15.5</v>
      </c>
      <c r="CJ171">
        <v>2.4465174277157439E-2</v>
      </c>
      <c r="CK171">
        <v>2.2392439990296231E-2</v>
      </c>
      <c r="CL171">
        <v>1.9074681906302609E-2</v>
      </c>
      <c r="CM171">
        <v>1.391444921344997E-2</v>
      </c>
      <c r="CN171">
        <v>4.3883376380095549E-3</v>
      </c>
    </row>
    <row r="172" spans="21:92" x14ac:dyDescent="0.2">
      <c r="U172" s="86">
        <f t="shared" si="31"/>
        <v>28</v>
      </c>
      <c r="AA172" s="10">
        <f t="shared" si="32"/>
        <v>16</v>
      </c>
      <c r="AB172">
        <v>1.9526003791442759E-2</v>
      </c>
      <c r="AC172">
        <v>1.4160394476912939E-2</v>
      </c>
      <c r="AD172">
        <v>8.0307878860105507E-3</v>
      </c>
      <c r="AE172">
        <v>6.1321152497714098E-3</v>
      </c>
      <c r="AF172">
        <v>5.3315874177455929E-3</v>
      </c>
      <c r="AG172" s="86">
        <f t="shared" si="33"/>
        <v>28</v>
      </c>
      <c r="AM172" s="10">
        <f t="shared" si="34"/>
        <v>16</v>
      </c>
      <c r="AN172">
        <v>1.0460375447763799E-2</v>
      </c>
      <c r="AO172">
        <v>9.396442366775495E-3</v>
      </c>
      <c r="AP172">
        <v>3.3010319522170689E-3</v>
      </c>
      <c r="AQ172">
        <v>9.971677727320858E-3</v>
      </c>
      <c r="AR172">
        <v>7.5746388041025839E-3</v>
      </c>
      <c r="AS172" s="86">
        <f t="shared" si="35"/>
        <v>28</v>
      </c>
      <c r="AY172" s="10">
        <f t="shared" si="36"/>
        <v>16</v>
      </c>
      <c r="AZ172">
        <v>1.332887374753406E-2</v>
      </c>
      <c r="BA172">
        <v>1.445456304346943E-2</v>
      </c>
      <c r="BB172">
        <v>6.1849834044756871E-3</v>
      </c>
      <c r="BC172">
        <v>5.2802496165114772E-3</v>
      </c>
      <c r="BD172">
        <v>4.0997082114288003E-3</v>
      </c>
      <c r="BE172" s="86">
        <f t="shared" si="37"/>
        <v>28</v>
      </c>
      <c r="BK172" s="10">
        <f t="shared" si="38"/>
        <v>16</v>
      </c>
      <c r="BL172">
        <v>1.6321118617435831E-2</v>
      </c>
      <c r="BM172">
        <v>1.3447552021364211E-2</v>
      </c>
      <c r="BN172">
        <v>9.3404241111221704E-3</v>
      </c>
      <c r="BO172">
        <v>9.318498293183583E-3</v>
      </c>
      <c r="BP172">
        <v>1.866689337205363E-3</v>
      </c>
      <c r="BQ172" s="86">
        <f t="shared" si="39"/>
        <v>28</v>
      </c>
      <c r="BW172" s="10">
        <f t="shared" si="40"/>
        <v>16</v>
      </c>
      <c r="BX172">
        <v>1.8052498039529921E-2</v>
      </c>
      <c r="BY172">
        <v>1.568338205491121E-2</v>
      </c>
      <c r="BZ172">
        <v>1.023470480893789E-2</v>
      </c>
      <c r="CA172">
        <v>8.1740920219590743E-3</v>
      </c>
      <c r="CB172">
        <v>2.6050598719296971E-3</v>
      </c>
      <c r="CC172" s="86">
        <f t="shared" si="41"/>
        <v>28</v>
      </c>
      <c r="CI172" s="10">
        <f t="shared" si="42"/>
        <v>16</v>
      </c>
      <c r="CJ172">
        <v>2.4398830112842908E-2</v>
      </c>
      <c r="CK172">
        <v>2.2677478096024439E-2</v>
      </c>
      <c r="CL172">
        <v>1.9185737076139211E-2</v>
      </c>
      <c r="CM172">
        <v>1.37304199783149E-2</v>
      </c>
      <c r="CN172">
        <v>3.1463080228212839E-3</v>
      </c>
    </row>
    <row r="173" spans="21:92" x14ac:dyDescent="0.2">
      <c r="U173" s="86">
        <f t="shared" si="31"/>
        <v>29</v>
      </c>
      <c r="AA173" s="10">
        <f t="shared" si="32"/>
        <v>16.5</v>
      </c>
      <c r="AB173">
        <v>1.8989360854760169E-2</v>
      </c>
      <c r="AC173">
        <v>1.215437855284218E-2</v>
      </c>
      <c r="AD173">
        <v>7.7104208450316418E-3</v>
      </c>
      <c r="AE173">
        <v>5.7201895652577639E-3</v>
      </c>
      <c r="AF173">
        <v>5.9377093646087904E-3</v>
      </c>
      <c r="AG173" s="86">
        <f t="shared" si="33"/>
        <v>29</v>
      </c>
      <c r="AM173" s="10">
        <f t="shared" si="34"/>
        <v>16.5</v>
      </c>
      <c r="AN173">
        <v>9.0411979245073309E-3</v>
      </c>
      <c r="AO173">
        <v>9.0768111632403455E-3</v>
      </c>
      <c r="AP173">
        <v>3.9237528285753316E-3</v>
      </c>
      <c r="AQ173">
        <v>9.5290396182270507E-3</v>
      </c>
      <c r="AR173">
        <v>8.4894161204156406E-3</v>
      </c>
      <c r="AS173" s="86">
        <f t="shared" si="35"/>
        <v>29</v>
      </c>
      <c r="AY173" s="10">
        <f t="shared" si="36"/>
        <v>16.5</v>
      </c>
      <c r="AZ173">
        <v>1.346325010698503E-2</v>
      </c>
      <c r="BA173">
        <v>1.3364142542197919E-2</v>
      </c>
      <c r="BB173">
        <v>5.2611083796561499E-3</v>
      </c>
      <c r="BC173">
        <v>4.9585007353419334E-3</v>
      </c>
      <c r="BD173">
        <v>3.4385331257690082E-3</v>
      </c>
      <c r="BE173" s="86">
        <f t="shared" si="37"/>
        <v>29</v>
      </c>
      <c r="BK173" s="10">
        <f t="shared" si="38"/>
        <v>16.5</v>
      </c>
      <c r="BL173">
        <v>1.5639692256924079E-2</v>
      </c>
      <c r="BM173">
        <v>1.2681693132330189E-2</v>
      </c>
      <c r="BN173">
        <v>9.5398614918915433E-3</v>
      </c>
      <c r="BO173">
        <v>9.0811118642921233E-3</v>
      </c>
      <c r="BP173">
        <v>1.6612997782139819E-3</v>
      </c>
      <c r="BQ173" s="86">
        <f t="shared" si="39"/>
        <v>29</v>
      </c>
      <c r="BW173" s="10">
        <f t="shared" si="40"/>
        <v>16.5</v>
      </c>
      <c r="BX173">
        <v>1.6686138158918729E-2</v>
      </c>
      <c r="BY173">
        <v>1.4638751816920431E-2</v>
      </c>
      <c r="BZ173">
        <v>9.5466254868049171E-3</v>
      </c>
      <c r="CA173">
        <v>6.8462073140766102E-3</v>
      </c>
      <c r="CB173">
        <v>1.375503529605016E-3</v>
      </c>
      <c r="CC173" s="86">
        <f t="shared" si="41"/>
        <v>29</v>
      </c>
      <c r="CI173" s="10">
        <f t="shared" si="42"/>
        <v>16.5</v>
      </c>
      <c r="CJ173">
        <v>2.4759686655322171E-2</v>
      </c>
      <c r="CK173">
        <v>2.3421966392525941E-2</v>
      </c>
      <c r="CL173">
        <v>1.9647599420654811E-2</v>
      </c>
      <c r="CM173">
        <v>1.355184016145901E-2</v>
      </c>
      <c r="CN173">
        <v>2.292711973987126E-3</v>
      </c>
    </row>
    <row r="174" spans="21:92" x14ac:dyDescent="0.2">
      <c r="U174" s="86">
        <f t="shared" si="31"/>
        <v>30</v>
      </c>
      <c r="AA174" s="10">
        <f t="shared" si="32"/>
        <v>17</v>
      </c>
      <c r="AB174">
        <v>1.8375753411775421E-2</v>
      </c>
      <c r="AC174">
        <v>1.075367718021168E-2</v>
      </c>
      <c r="AD174">
        <v>7.3599727518701957E-3</v>
      </c>
      <c r="AE174">
        <v>5.4170676396183559E-3</v>
      </c>
      <c r="AF174">
        <v>5.9671114622284549E-3</v>
      </c>
      <c r="AG174" s="86">
        <f t="shared" si="33"/>
        <v>30</v>
      </c>
      <c r="AM174" s="10">
        <f t="shared" si="34"/>
        <v>17</v>
      </c>
      <c r="AN174">
        <v>8.3796451694402065E-3</v>
      </c>
      <c r="AO174">
        <v>8.2294441407861924E-3</v>
      </c>
      <c r="AP174">
        <v>4.0712386361597096E-3</v>
      </c>
      <c r="AQ174">
        <v>8.9408641594702354E-3</v>
      </c>
      <c r="AR174">
        <v>8.6497310359687843E-3</v>
      </c>
      <c r="AS174" s="86">
        <f t="shared" si="35"/>
        <v>30</v>
      </c>
      <c r="AY174" s="10">
        <f t="shared" si="36"/>
        <v>17</v>
      </c>
      <c r="AZ174">
        <v>1.422065381056581E-2</v>
      </c>
      <c r="BA174">
        <v>1.267473259500335E-2</v>
      </c>
      <c r="BB174">
        <v>4.7948185650084317E-3</v>
      </c>
      <c r="BC174">
        <v>4.9822239797061426E-3</v>
      </c>
      <c r="BD174">
        <v>2.4129760366604709E-3</v>
      </c>
      <c r="BE174" s="86">
        <f t="shared" si="37"/>
        <v>30</v>
      </c>
      <c r="BK174" s="10">
        <f t="shared" si="38"/>
        <v>17</v>
      </c>
      <c r="BL174">
        <v>1.543418000687688E-2</v>
      </c>
      <c r="BM174">
        <v>1.2049878873581939E-2</v>
      </c>
      <c r="BN174">
        <v>9.3069832910154977E-3</v>
      </c>
      <c r="BO174">
        <v>8.8601050979201512E-3</v>
      </c>
      <c r="BP174">
        <v>1.3014953909475191E-3</v>
      </c>
      <c r="BQ174" s="86">
        <f t="shared" si="39"/>
        <v>30</v>
      </c>
      <c r="BW174" s="10">
        <f t="shared" si="40"/>
        <v>17</v>
      </c>
      <c r="BX174">
        <v>1.549284440817698E-2</v>
      </c>
      <c r="BY174">
        <v>1.375042188245457E-2</v>
      </c>
      <c r="BZ174">
        <v>9.5521342155503418E-3</v>
      </c>
      <c r="CA174">
        <v>5.9164383330657603E-3</v>
      </c>
      <c r="CB174">
        <v>7.6353827994311949E-4</v>
      </c>
      <c r="CC174" s="86">
        <f t="shared" si="41"/>
        <v>30</v>
      </c>
      <c r="CI174" s="10">
        <f t="shared" si="42"/>
        <v>17</v>
      </c>
      <c r="CJ174">
        <v>2.527415643433337E-2</v>
      </c>
      <c r="CK174">
        <v>2.4783510646018581E-2</v>
      </c>
      <c r="CL174">
        <v>2.0895578788125171E-2</v>
      </c>
      <c r="CM174">
        <v>1.318905488372555E-2</v>
      </c>
      <c r="CN174">
        <v>2.1169740865234982E-3</v>
      </c>
    </row>
    <row r="175" spans="21:92" x14ac:dyDescent="0.2">
      <c r="U175" s="86">
        <f t="shared" si="31"/>
        <v>31</v>
      </c>
      <c r="AA175" s="10">
        <f t="shared" si="32"/>
        <v>17.5</v>
      </c>
      <c r="AB175">
        <v>1.7694752699173491E-2</v>
      </c>
      <c r="AC175">
        <v>9.7179792829888006E-3</v>
      </c>
      <c r="AD175">
        <v>6.8902308800958753E-3</v>
      </c>
      <c r="AE175">
        <v>5.2584044983116744E-3</v>
      </c>
      <c r="AF175">
        <v>5.6414628471738674E-3</v>
      </c>
      <c r="AG175" s="86">
        <f t="shared" si="33"/>
        <v>31</v>
      </c>
      <c r="AM175" s="10">
        <f t="shared" si="34"/>
        <v>17.5</v>
      </c>
      <c r="AN175">
        <v>7.7237085147596873E-3</v>
      </c>
      <c r="AO175">
        <v>7.0717297679056251E-3</v>
      </c>
      <c r="AP175">
        <v>3.8528135706431201E-3</v>
      </c>
      <c r="AQ175">
        <v>8.242422326616556E-3</v>
      </c>
      <c r="AR175">
        <v>8.410902711878129E-3</v>
      </c>
      <c r="AS175" s="86">
        <f t="shared" si="35"/>
        <v>31</v>
      </c>
      <c r="AY175" s="10">
        <f t="shared" si="36"/>
        <v>17.5</v>
      </c>
      <c r="AZ175">
        <v>1.6282014664538429E-2</v>
      </c>
      <c r="BA175">
        <v>1.274045582538165E-2</v>
      </c>
      <c r="BB175">
        <v>4.8795848511983689E-3</v>
      </c>
      <c r="BC175">
        <v>5.3872101346928349E-3</v>
      </c>
      <c r="BD175">
        <v>1.387166813854386E-3</v>
      </c>
      <c r="BE175" s="86">
        <f t="shared" si="37"/>
        <v>31</v>
      </c>
      <c r="BK175" s="10">
        <f t="shared" si="38"/>
        <v>17.5</v>
      </c>
      <c r="BL175">
        <v>1.5633634262062959E-2</v>
      </c>
      <c r="BM175">
        <v>1.1633406050697339E-2</v>
      </c>
      <c r="BN175">
        <v>8.9642814932977041E-3</v>
      </c>
      <c r="BO175">
        <v>8.7742308492512657E-3</v>
      </c>
      <c r="BP175">
        <v>9.1839896370533001E-4</v>
      </c>
      <c r="BQ175" s="86">
        <f t="shared" si="39"/>
        <v>31</v>
      </c>
      <c r="BW175" s="10">
        <f t="shared" si="40"/>
        <v>17.5</v>
      </c>
      <c r="BX175">
        <v>1.4928121357332159E-2</v>
      </c>
      <c r="BY175">
        <v>1.2962723914517761E-2</v>
      </c>
      <c r="BZ175">
        <v>1.082593623431554E-2</v>
      </c>
      <c r="CA175">
        <v>5.1797333723730419E-3</v>
      </c>
      <c r="CB175">
        <v>8.6947382574295367E-4</v>
      </c>
      <c r="CC175" s="86">
        <f t="shared" si="41"/>
        <v>31</v>
      </c>
      <c r="CI175" s="10">
        <f t="shared" si="42"/>
        <v>17.5</v>
      </c>
      <c r="CJ175">
        <v>2.6284535940518682E-2</v>
      </c>
      <c r="CK175">
        <v>2.6587619181176629E-2</v>
      </c>
      <c r="CL175">
        <v>2.2494422435314899E-2</v>
      </c>
      <c r="CM175">
        <v>1.287306495077005E-2</v>
      </c>
      <c r="CN175">
        <v>2.3974733351231061E-3</v>
      </c>
    </row>
    <row r="176" spans="21:92" x14ac:dyDescent="0.2">
      <c r="U176" s="86">
        <f t="shared" si="31"/>
        <v>32</v>
      </c>
      <c r="AA176" s="10">
        <f t="shared" si="32"/>
        <v>18</v>
      </c>
      <c r="AB176">
        <v>1.6916069129645491E-2</v>
      </c>
      <c r="AC176">
        <v>9.116372243806967E-3</v>
      </c>
      <c r="AD176">
        <v>6.2271976798296226E-3</v>
      </c>
      <c r="AE176">
        <v>5.4058018065124159E-3</v>
      </c>
      <c r="AF176">
        <v>5.0560546208673696E-3</v>
      </c>
      <c r="AG176" s="86">
        <f t="shared" si="33"/>
        <v>32</v>
      </c>
      <c r="AM176" s="10">
        <f t="shared" si="34"/>
        <v>18</v>
      </c>
      <c r="AN176">
        <v>7.1468622238425629E-3</v>
      </c>
      <c r="AO176">
        <v>5.8056894946294886E-3</v>
      </c>
      <c r="AP176">
        <v>3.441034842778589E-3</v>
      </c>
      <c r="AQ176">
        <v>7.2903211277112684E-3</v>
      </c>
      <c r="AR176">
        <v>7.7075877503023109E-3</v>
      </c>
      <c r="AS176" s="86">
        <f t="shared" si="35"/>
        <v>32</v>
      </c>
      <c r="AY176" s="10">
        <f t="shared" si="36"/>
        <v>18</v>
      </c>
      <c r="AZ176">
        <v>1.8640182963455432E-2</v>
      </c>
      <c r="BA176">
        <v>1.327551797071307E-2</v>
      </c>
      <c r="BB176">
        <v>5.4387155199483407E-3</v>
      </c>
      <c r="BC176">
        <v>5.9153451684837519E-3</v>
      </c>
      <c r="BD176">
        <v>9.9388125410782859E-4</v>
      </c>
      <c r="BE176" s="86">
        <f t="shared" si="37"/>
        <v>32</v>
      </c>
      <c r="BK176" s="10">
        <f t="shared" si="38"/>
        <v>18</v>
      </c>
      <c r="BL176">
        <v>1.6117470094992991E-2</v>
      </c>
      <c r="BM176">
        <v>1.1808764005453659E-2</v>
      </c>
      <c r="BN176">
        <v>8.5145948301639848E-3</v>
      </c>
      <c r="BO176">
        <v>8.8137518312667012E-3</v>
      </c>
      <c r="BP176">
        <v>1.0329318862533311E-3</v>
      </c>
      <c r="BQ176" s="86">
        <f t="shared" si="39"/>
        <v>32</v>
      </c>
      <c r="BW176" s="10">
        <f t="shared" si="40"/>
        <v>18</v>
      </c>
      <c r="BX176">
        <v>1.456258269160912E-2</v>
      </c>
      <c r="BY176">
        <v>1.25652582025369E-2</v>
      </c>
      <c r="BZ176">
        <v>1.255742518338287E-2</v>
      </c>
      <c r="CA176">
        <v>4.7200168156596063E-3</v>
      </c>
      <c r="CB176">
        <v>1.6693251268011171E-3</v>
      </c>
      <c r="CC176" s="86">
        <f t="shared" si="41"/>
        <v>32</v>
      </c>
      <c r="CI176" s="10">
        <f t="shared" si="42"/>
        <v>18</v>
      </c>
      <c r="CJ176">
        <v>2.7360816115907009E-2</v>
      </c>
      <c r="CK176">
        <v>2.8649620353053021E-2</v>
      </c>
      <c r="CL176">
        <v>2.4415196118080001E-2</v>
      </c>
      <c r="CM176">
        <v>1.2615148958744471E-2</v>
      </c>
      <c r="CN176">
        <v>3.3079245112652531E-3</v>
      </c>
    </row>
    <row r="177" spans="21:92" x14ac:dyDescent="0.2">
      <c r="U177" s="86">
        <f t="shared" si="31"/>
        <v>33</v>
      </c>
      <c r="AA177" s="10">
        <f t="shared" si="32"/>
        <v>18.5</v>
      </c>
      <c r="AB177">
        <v>1.6146304283658819E-2</v>
      </c>
      <c r="AC177">
        <v>8.8274474687039129E-3</v>
      </c>
      <c r="AD177">
        <v>5.3306526069387596E-3</v>
      </c>
      <c r="AE177">
        <v>5.8459233642330494E-3</v>
      </c>
      <c r="AF177">
        <v>4.3144774375390472E-3</v>
      </c>
      <c r="AG177" s="86">
        <f t="shared" si="33"/>
        <v>33</v>
      </c>
      <c r="AM177" s="10">
        <f t="shared" si="34"/>
        <v>18.5</v>
      </c>
      <c r="AN177">
        <v>6.3862991568422048E-3</v>
      </c>
      <c r="AO177">
        <v>4.7311694278674068E-3</v>
      </c>
      <c r="AP177">
        <v>2.9646668917337449E-3</v>
      </c>
      <c r="AQ177">
        <v>6.2426265487442534E-3</v>
      </c>
      <c r="AR177">
        <v>6.615148397207153E-3</v>
      </c>
      <c r="AS177" s="86">
        <f t="shared" si="35"/>
        <v>33</v>
      </c>
      <c r="AY177" s="10">
        <f t="shared" si="36"/>
        <v>18.5</v>
      </c>
      <c r="AZ177">
        <v>2.1531286734290229E-2</v>
      </c>
      <c r="BA177">
        <v>1.435737339391192E-2</v>
      </c>
      <c r="BB177">
        <v>5.8751504911581723E-3</v>
      </c>
      <c r="BC177">
        <v>6.4909193225189173E-3</v>
      </c>
      <c r="BD177">
        <v>1.41081529414456E-3</v>
      </c>
      <c r="BE177" s="86">
        <f t="shared" si="37"/>
        <v>33</v>
      </c>
      <c r="BK177" s="10">
        <f t="shared" si="38"/>
        <v>18.5</v>
      </c>
      <c r="BL177">
        <v>1.686953830300663E-2</v>
      </c>
      <c r="BM177">
        <v>1.2237173143879459E-2</v>
      </c>
      <c r="BN177">
        <v>8.3572159402798048E-3</v>
      </c>
      <c r="BO177">
        <v>8.9557321691225208E-3</v>
      </c>
      <c r="BP177">
        <v>1.55636428494776E-3</v>
      </c>
      <c r="BQ177" s="86">
        <f t="shared" si="39"/>
        <v>33</v>
      </c>
      <c r="BW177" s="10">
        <f t="shared" si="40"/>
        <v>18.5</v>
      </c>
      <c r="BX177">
        <v>1.466834155595078E-2</v>
      </c>
      <c r="BY177">
        <v>1.236739013492349E-2</v>
      </c>
      <c r="BZ177">
        <v>1.486971013534129E-2</v>
      </c>
      <c r="CA177">
        <v>4.5128682537039343E-3</v>
      </c>
      <c r="CB177">
        <v>3.130363008654376E-3</v>
      </c>
      <c r="CC177" s="86">
        <f t="shared" si="41"/>
        <v>33</v>
      </c>
      <c r="CI177" s="10">
        <f t="shared" si="42"/>
        <v>18.5</v>
      </c>
      <c r="CJ177">
        <v>2.858731408881237E-2</v>
      </c>
      <c r="CK177">
        <v>3.0732884398352329E-2</v>
      </c>
      <c r="CL177">
        <v>2.634899913966841E-2</v>
      </c>
      <c r="CM177">
        <v>1.254117714127507E-2</v>
      </c>
      <c r="CN177">
        <v>4.7030078832193964E-3</v>
      </c>
    </row>
    <row r="178" spans="21:92" x14ac:dyDescent="0.2">
      <c r="U178" s="86">
        <f t="shared" si="31"/>
        <v>34</v>
      </c>
      <c r="AA178" s="10">
        <f t="shared" si="32"/>
        <v>19</v>
      </c>
      <c r="AB178">
        <v>1.5511739565625999E-2</v>
      </c>
      <c r="AC178">
        <v>8.6649346225563424E-3</v>
      </c>
      <c r="AD178">
        <v>4.3975369042552771E-3</v>
      </c>
      <c r="AE178">
        <v>6.3987053363619142E-3</v>
      </c>
      <c r="AF178">
        <v>3.6402687007948578E-3</v>
      </c>
      <c r="AG178" s="86">
        <f t="shared" si="33"/>
        <v>34</v>
      </c>
      <c r="AM178" s="10">
        <f t="shared" si="34"/>
        <v>19</v>
      </c>
      <c r="AN178">
        <v>5.7488789452988876E-3</v>
      </c>
      <c r="AO178">
        <v>3.9702204573733163E-3</v>
      </c>
      <c r="AP178">
        <v>3.125858853376341E-3</v>
      </c>
      <c r="AQ178">
        <v>5.1442360561939002E-3</v>
      </c>
      <c r="AR178">
        <v>5.4652676180590963E-3</v>
      </c>
      <c r="AS178" s="86">
        <f t="shared" si="35"/>
        <v>34</v>
      </c>
      <c r="AY178" s="10">
        <f t="shared" si="36"/>
        <v>19</v>
      </c>
      <c r="AZ178">
        <v>2.3985849507386359E-2</v>
      </c>
      <c r="BA178">
        <v>1.555174135412813E-2</v>
      </c>
      <c r="BB178">
        <v>6.870279923280917E-3</v>
      </c>
      <c r="BC178">
        <v>6.8903954819046981E-3</v>
      </c>
      <c r="BD178">
        <v>2.4126555073383342E-3</v>
      </c>
      <c r="BE178" s="86">
        <f t="shared" si="37"/>
        <v>34</v>
      </c>
      <c r="BK178" s="10">
        <f t="shared" si="38"/>
        <v>19</v>
      </c>
      <c r="BL178">
        <v>1.7543211018790569E-2</v>
      </c>
      <c r="BM178">
        <v>1.3053268285197581E-2</v>
      </c>
      <c r="BN178">
        <v>8.2945436366904796E-3</v>
      </c>
      <c r="BO178">
        <v>9.2658648623836128E-3</v>
      </c>
      <c r="BP178">
        <v>2.4481121297869279E-3</v>
      </c>
      <c r="BQ178" s="86">
        <f t="shared" si="39"/>
        <v>34</v>
      </c>
      <c r="BW178" s="10">
        <f t="shared" si="40"/>
        <v>19</v>
      </c>
      <c r="BX178">
        <v>1.486074144161074E-2</v>
      </c>
      <c r="BY178">
        <v>1.2398921694733001E-2</v>
      </c>
      <c r="BZ178">
        <v>1.6966395810814772E-2</v>
      </c>
      <c r="CA178">
        <v>4.4187680341002669E-3</v>
      </c>
      <c r="CB178">
        <v>5.0287189649374587E-3</v>
      </c>
      <c r="CC178" s="86">
        <f t="shared" si="41"/>
        <v>34</v>
      </c>
      <c r="CI178" s="10">
        <f t="shared" si="42"/>
        <v>19</v>
      </c>
      <c r="CJ178">
        <v>2.9593602821673708E-2</v>
      </c>
      <c r="CK178">
        <v>3.2584125424255088E-2</v>
      </c>
      <c r="CL178">
        <v>2.811760292864849E-2</v>
      </c>
      <c r="CM178">
        <v>1.2540579318414961E-2</v>
      </c>
      <c r="CN178">
        <v>6.1191672605644476E-3</v>
      </c>
    </row>
    <row r="179" spans="21:92" x14ac:dyDescent="0.2">
      <c r="U179" s="86">
        <f t="shared" si="31"/>
        <v>35</v>
      </c>
      <c r="AA179" s="10">
        <f t="shared" si="32"/>
        <v>19.5</v>
      </c>
      <c r="AB179">
        <v>1.508620346044762E-2</v>
      </c>
      <c r="AC179">
        <v>8.5217432148512323E-3</v>
      </c>
      <c r="AD179">
        <v>3.4694573733834899E-3</v>
      </c>
      <c r="AE179">
        <v>6.9245142813561984E-3</v>
      </c>
      <c r="AF179">
        <v>3.017529267233338E-3</v>
      </c>
      <c r="AG179" s="86">
        <f t="shared" si="33"/>
        <v>35</v>
      </c>
      <c r="AM179" s="10">
        <f t="shared" si="34"/>
        <v>19.5</v>
      </c>
      <c r="AN179">
        <v>5.2962302581965473E-3</v>
      </c>
      <c r="AO179">
        <v>3.4435825189047401E-3</v>
      </c>
      <c r="AP179">
        <v>3.9535044744709877E-3</v>
      </c>
      <c r="AQ179">
        <v>4.1026538689901016E-3</v>
      </c>
      <c r="AR179">
        <v>4.2809426148829608E-3</v>
      </c>
      <c r="AS179" s="86">
        <f t="shared" si="35"/>
        <v>35</v>
      </c>
      <c r="AY179" s="10">
        <f t="shared" si="36"/>
        <v>19.5</v>
      </c>
      <c r="AZ179">
        <v>2.60539682606277E-2</v>
      </c>
      <c r="BA179">
        <v>1.6530900235525978E-2</v>
      </c>
      <c r="BB179">
        <v>8.7821551604059227E-3</v>
      </c>
      <c r="BC179">
        <v>7.1537404812434986E-3</v>
      </c>
      <c r="BD179">
        <v>3.4809282988386152E-3</v>
      </c>
      <c r="BE179" s="86">
        <f t="shared" si="37"/>
        <v>35</v>
      </c>
      <c r="BK179" s="10">
        <f t="shared" si="38"/>
        <v>19.5</v>
      </c>
      <c r="BL179">
        <v>1.812517495420821E-2</v>
      </c>
      <c r="BM179">
        <v>1.3646529609614081E-2</v>
      </c>
      <c r="BN179">
        <v>8.3839798753012982E-3</v>
      </c>
      <c r="BO179">
        <v>9.4726452472476946E-3</v>
      </c>
      <c r="BP179">
        <v>3.3744200923589429E-3</v>
      </c>
      <c r="BQ179" s="86">
        <f t="shared" si="39"/>
        <v>35</v>
      </c>
      <c r="BW179" s="10">
        <f t="shared" si="40"/>
        <v>19.5</v>
      </c>
      <c r="BX179">
        <v>1.512505423041691E-2</v>
      </c>
      <c r="BY179">
        <v>1.2503471254998349E-2</v>
      </c>
      <c r="BZ179">
        <v>1.866933351500516E-2</v>
      </c>
      <c r="CA179">
        <v>4.4341489569618966E-3</v>
      </c>
      <c r="CB179">
        <v>6.7637765878515096E-3</v>
      </c>
      <c r="CC179" s="86">
        <f t="shared" si="41"/>
        <v>35</v>
      </c>
      <c r="CI179" s="10">
        <f t="shared" si="42"/>
        <v>19.5</v>
      </c>
      <c r="CJ179">
        <v>3.0338413358499239E-2</v>
      </c>
      <c r="CK179">
        <v>3.3708757077122418E-2</v>
      </c>
      <c r="CL179">
        <v>2.9131884105955609E-2</v>
      </c>
      <c r="CM179">
        <v>1.262686574748194E-2</v>
      </c>
      <c r="CN179">
        <v>7.3181067906011397E-3</v>
      </c>
    </row>
    <row r="180" spans="21:92" x14ac:dyDescent="0.2">
      <c r="U180" s="86">
        <f t="shared" si="31"/>
        <v>36</v>
      </c>
      <c r="AA180" s="10">
        <f t="shared" si="32"/>
        <v>20</v>
      </c>
      <c r="AB180">
        <v>1.484511334482418E-2</v>
      </c>
      <c r="AC180">
        <v>8.5253087426202644E-3</v>
      </c>
      <c r="AD180">
        <v>2.6863458588693109E-3</v>
      </c>
      <c r="AE180">
        <v>7.0676402061298407E-3</v>
      </c>
      <c r="AF180">
        <v>2.4627107578932151E-3</v>
      </c>
      <c r="AG180" s="86">
        <f t="shared" si="33"/>
        <v>36</v>
      </c>
      <c r="AM180" s="10">
        <f t="shared" si="34"/>
        <v>20</v>
      </c>
      <c r="AN180">
        <v>5.1726422746990706E-3</v>
      </c>
      <c r="AO180">
        <v>3.1019725412025378E-3</v>
      </c>
      <c r="AP180">
        <v>4.2896912751200214E-3</v>
      </c>
      <c r="AQ180">
        <v>3.1545902663033809E-3</v>
      </c>
      <c r="AR180">
        <v>3.2372863104124772E-3</v>
      </c>
      <c r="AS180" s="86">
        <f t="shared" si="35"/>
        <v>36</v>
      </c>
      <c r="AY180" s="10">
        <f t="shared" si="36"/>
        <v>20</v>
      </c>
      <c r="AZ180">
        <v>2.6379930992649871E-2</v>
      </c>
      <c r="BA180">
        <v>1.680272002441844E-2</v>
      </c>
      <c r="BB180">
        <v>9.5783398562759598E-3</v>
      </c>
      <c r="BC180">
        <v>7.2697882478279033E-3</v>
      </c>
      <c r="BD180">
        <v>3.9785511621661836E-3</v>
      </c>
      <c r="BE180" s="86">
        <f t="shared" si="37"/>
        <v>36</v>
      </c>
      <c r="BK180" s="10">
        <f t="shared" si="38"/>
        <v>20</v>
      </c>
      <c r="BL180">
        <v>1.8281840666442249E-2</v>
      </c>
      <c r="BM180">
        <v>1.407737185791186E-2</v>
      </c>
      <c r="BN180">
        <v>8.4019477388782796E-3</v>
      </c>
      <c r="BO180">
        <v>9.6092134853373087E-3</v>
      </c>
      <c r="BP180">
        <v>3.657908744468392E-3</v>
      </c>
      <c r="BQ180" s="86">
        <f t="shared" si="39"/>
        <v>36</v>
      </c>
      <c r="BW180" s="10">
        <f t="shared" si="40"/>
        <v>20</v>
      </c>
      <c r="BX180">
        <v>1.516794128753925E-2</v>
      </c>
      <c r="BY180">
        <v>1.255904261059565E-2</v>
      </c>
      <c r="BZ180">
        <v>1.9045748603493159E-2</v>
      </c>
      <c r="CA180">
        <v>4.4420016734465382E-3</v>
      </c>
      <c r="CB180">
        <v>7.3100301256697536E-3</v>
      </c>
      <c r="CC180" s="86">
        <f t="shared" si="41"/>
        <v>36</v>
      </c>
      <c r="CI180" s="10">
        <f t="shared" si="42"/>
        <v>20</v>
      </c>
      <c r="CJ180">
        <v>3.0564516824932851E-2</v>
      </c>
      <c r="CK180">
        <v>3.4243849674192972E-2</v>
      </c>
      <c r="CL180">
        <v>2.9698592196797699E-2</v>
      </c>
      <c r="CM180">
        <v>1.263450901945053E-2</v>
      </c>
      <c r="CN180">
        <v>7.5999711191898252E-3</v>
      </c>
    </row>
    <row r="182" spans="21:92" x14ac:dyDescent="0.2">
      <c r="U182" s="11" t="s">
        <v>192</v>
      </c>
      <c r="V182" s="12">
        <v>1</v>
      </c>
      <c r="W182" s="12"/>
      <c r="X182" s="12"/>
      <c r="Y182" s="12"/>
      <c r="Z182" s="12"/>
      <c r="AA182" s="12"/>
      <c r="AB182" s="12"/>
      <c r="AC182" s="11"/>
      <c r="AD182" s="12"/>
      <c r="AE182" s="12"/>
      <c r="AF182" s="12"/>
      <c r="AG182" s="12"/>
      <c r="AH182" s="12"/>
      <c r="AI182" s="11"/>
      <c r="AJ182" s="12"/>
      <c r="AK182" s="12"/>
      <c r="AL182" s="12"/>
      <c r="AM182" s="12"/>
      <c r="AN182" s="34"/>
      <c r="AO182" s="34"/>
      <c r="AP182" s="34"/>
      <c r="AQ182" s="34"/>
      <c r="AR182" s="34"/>
    </row>
    <row r="183" spans="21:92" x14ac:dyDescent="0.2">
      <c r="U183" s="4" t="s">
        <v>155</v>
      </c>
      <c r="V183" s="8" t="str">
        <f>$C$10</f>
        <v/>
      </c>
      <c r="W183" t="s">
        <v>156</v>
      </c>
      <c r="X183" t="e" cm="1">
        <f t="array" ref="X183">_xlfn.IFS(ISBLANK(V183),"",AND(V183&gt;=20,V183&lt;30),0,AND(V183&gt;=30,V183&lt;40),1,AND(V183&gt;=40,V183&lt;50),2,AND(V183&gt;=50,V183&lt;60),3,AND(V183&gt;=60,V183&lt;70),4,AND(V183&gt;=70,V183&lt;80),5)</f>
        <v>#N/A</v>
      </c>
      <c r="Y183" s="4"/>
      <c r="AN183" s="64"/>
      <c r="AO183" s="64"/>
      <c r="AP183" s="64"/>
      <c r="AQ183" s="64"/>
      <c r="AR183" s="64"/>
    </row>
    <row r="184" spans="21:92" x14ac:dyDescent="0.2">
      <c r="U184" s="4" t="s">
        <v>8</v>
      </c>
      <c r="V184" t="e" cm="1">
        <f t="array" ref="V184">_xlfn.IFS($X$100=$W$102,V186,$X$100=$AI$102,AH186,$X$100=$AU$102,AT186,$X$100=$BG$102,BF186,$X$100=$BS$102,BR186,$X$100=$CE$102,CD186)</f>
        <v>#N/A</v>
      </c>
      <c r="W184" t="e" cm="1">
        <f t="array" ref="W184">_xlfn.IFS($X$100=$W$102,W186,$X$100=$AI$102,AI186,$X$100=$AU$102,AU186,$X$100=$BG$102,BG186,$X$100=$BS$102,BS186,$X$100=$CE$102,CE186)</f>
        <v>#N/A</v>
      </c>
      <c r="X184" t="e" cm="1">
        <f t="array" ref="X184">_xlfn.IFS($X$100=$W$102,X186,$X$100=$AI$102,AJ186,$X$100=$AU$102,AV186,$X$100=$BG$102,BH186,$X$100=$BS$102,BT186,$X$100=$CE$102,CF186)</f>
        <v>#N/A</v>
      </c>
      <c r="Y184" t="e" cm="1">
        <f t="array" ref="Y184">_xlfn.IFS($X$100=$W$102,Y186,$X$100=$AI$102,AK186,$X$100=$AU$102,AW186,$X$100=$BG$102,BI186,$X$100=$BS$102,BU186,$X$100=$CE$102,CG186)</f>
        <v>#N/A</v>
      </c>
      <c r="Z184" t="e" cm="1">
        <f t="array" ref="Z184">_xlfn.IFS($X$100=$W$102,Z186,$X$100=$AI$102,AL186,$X$100=$AU$102,AX186,$X$100=$BG$102,BJ186,$X$100=$BS$102,BV186,$X$100=$CE$102,CH186)</f>
        <v>#N/A</v>
      </c>
    </row>
    <row r="185" spans="21:92" x14ac:dyDescent="0.2">
      <c r="U185" s="20" t="s">
        <v>196</v>
      </c>
      <c r="V185" s="4" t="s">
        <v>156</v>
      </c>
      <c r="W185">
        <v>0</v>
      </c>
      <c r="AA185" s="20" t="s">
        <v>193</v>
      </c>
      <c r="AG185" s="20" t="s">
        <v>197</v>
      </c>
      <c r="AH185" s="4" t="s">
        <v>156</v>
      </c>
      <c r="AI185">
        <v>1</v>
      </c>
      <c r="AM185" s="20" t="s">
        <v>193</v>
      </c>
      <c r="AS185" s="20" t="s">
        <v>198</v>
      </c>
      <c r="AT185" s="4" t="s">
        <v>156</v>
      </c>
      <c r="AU185">
        <v>2</v>
      </c>
      <c r="AY185" s="20" t="s">
        <v>193</v>
      </c>
      <c r="BE185" s="20" t="s">
        <v>201</v>
      </c>
      <c r="BF185" s="4" t="s">
        <v>203</v>
      </c>
      <c r="BG185">
        <v>3</v>
      </c>
      <c r="BK185" s="20" t="s">
        <v>193</v>
      </c>
      <c r="BQ185" s="20" t="s">
        <v>200</v>
      </c>
      <c r="BR185" s="4" t="s">
        <v>204</v>
      </c>
      <c r="BS185">
        <v>4</v>
      </c>
      <c r="BW185" s="20" t="s">
        <v>193</v>
      </c>
      <c r="CC185" s="20" t="s">
        <v>199</v>
      </c>
      <c r="CD185" s="4" t="s">
        <v>205</v>
      </c>
      <c r="CE185">
        <v>5</v>
      </c>
      <c r="CI185" s="20" t="s">
        <v>193</v>
      </c>
    </row>
    <row r="186" spans="21:92" x14ac:dyDescent="0.2">
      <c r="U186" s="4" t="s">
        <v>8</v>
      </c>
      <c r="V186" s="89" t="str">
        <f>IFERROR(VLOOKUP($V$4,U188:Z220,$V$5,FALSE)*100,"")</f>
        <v/>
      </c>
      <c r="W186" s="89" t="str">
        <f>IFERROR(VLOOKUP($W$4,U188:Z220,$W$5,FALSE)*100,"")</f>
        <v/>
      </c>
      <c r="X186" s="89" t="str">
        <f>IFERROR(VLOOKUP($X$4,U188:Z220,$X$5,FALSE)*100,"")</f>
        <v/>
      </c>
      <c r="Y186" s="89" t="str">
        <f>IFERROR(VLOOKUP($Y$4,U188:Z220,$Y$5,FALSE)*100,"")</f>
        <v/>
      </c>
      <c r="Z186" s="89" t="str">
        <f>IFERROR(VLOOKUP($Z$4,U188:Z220,$Z$5,FALSE)*100,"")</f>
        <v/>
      </c>
      <c r="AA186" s="20"/>
      <c r="AB186" s="89"/>
      <c r="AC186" s="89"/>
      <c r="AD186" s="89"/>
      <c r="AE186" s="89"/>
      <c r="AF186" s="89"/>
      <c r="AG186" s="20"/>
      <c r="AH186" s="89" t="str">
        <f>IFERROR(VLOOKUP($V$4,AG188:AL220,$V$5,FALSE)*100,"")</f>
        <v/>
      </c>
      <c r="AI186" s="89" t="str">
        <f>IFERROR(VLOOKUP($W$4,AG188:AL220,$W$5,FALSE)*100,"")</f>
        <v/>
      </c>
      <c r="AJ186" s="89" t="str">
        <f>IFERROR(VLOOKUP($X$4,AG188:AL220,$X$5,FALSE)*100,"")</f>
        <v/>
      </c>
      <c r="AK186" s="89" t="str">
        <f>IFERROR(VLOOKUP($Y$4,AG188:AL220,$Y$5,FALSE)*100,"")</f>
        <v/>
      </c>
      <c r="AL186" s="89" t="str">
        <f>IFERROR(VLOOKUP($Z$4,AG188:AL220,$Z$5,FALSE)*100,"")</f>
        <v/>
      </c>
      <c r="AM186" s="20"/>
      <c r="AS186" s="20"/>
      <c r="AT186" s="89" t="str">
        <f>IFERROR(VLOOKUP($V$4,AS188:AX220,$V$5,FALSE)*100,"")</f>
        <v/>
      </c>
      <c r="AU186" s="89" t="str">
        <f>IFERROR(VLOOKUP($W$4,AS188:AX220,$W$5,FALSE)*100,"")</f>
        <v/>
      </c>
      <c r="AV186" s="89" t="str">
        <f>IFERROR(VLOOKUP($X$4,AS188:AX220,$X$5,FALSE)*100,"")</f>
        <v/>
      </c>
      <c r="AW186" s="89" t="str">
        <f>IFERROR(VLOOKUP($Y$4,AS188:AX220,$Y$5,FALSE)*100,"")</f>
        <v/>
      </c>
      <c r="AX186" s="89" t="str">
        <f>IFERROR(VLOOKUP($Z$4,AS188:AX220,$Z$5,FALSE)*100,"")</f>
        <v/>
      </c>
      <c r="AY186" s="20"/>
      <c r="BE186" s="20"/>
      <c r="BF186" s="89" t="str">
        <f>IFERROR(VLOOKUP($V$4,BE188:BJ220,$V$5,FALSE)*100,"")</f>
        <v/>
      </c>
      <c r="BG186" s="89" t="str">
        <f>IFERROR(VLOOKUP($W$4,BE188:BJ220,$W$5,FALSE)*100,"")</f>
        <v/>
      </c>
      <c r="BH186" s="89" t="str">
        <f>IFERROR(VLOOKUP($X$4,BE188:BJ220,$X$5,FALSE)*100,"")</f>
        <v/>
      </c>
      <c r="BI186" s="89" t="str">
        <f>IFERROR(VLOOKUP($Y$4,BE188:BJ220,$Y$5,FALSE)*100,"")</f>
        <v/>
      </c>
      <c r="BJ186" s="89" t="str">
        <f>IFERROR(VLOOKUP($Z$4,BE188:BJ220,$Z$5,FALSE)*100,"")</f>
        <v/>
      </c>
      <c r="BK186" s="20"/>
      <c r="BQ186" s="20"/>
      <c r="BR186" s="89" t="str">
        <f>IFERROR(VLOOKUP($V$4,BQ188:BV220,$V$5,FALSE)*100,"")</f>
        <v/>
      </c>
      <c r="BS186" s="89" t="str">
        <f>IFERROR(VLOOKUP($W$4,BQ188:BV220,$W$5,FALSE)*100,"")</f>
        <v/>
      </c>
      <c r="BT186" s="89" t="str">
        <f>IFERROR(VLOOKUP($X$4,BQ188:BV220,$X$5,FALSE)*100,"")</f>
        <v/>
      </c>
      <c r="BU186" s="89" t="str">
        <f>IFERROR(VLOOKUP($Y$4,BQ188:BV220,$Y$5,FALSE)*100,"")</f>
        <v/>
      </c>
      <c r="BV186" s="89" t="str">
        <f>IFERROR(VLOOKUP($Z$4,BQ188:BV220,$Z$5,FALSE)*100,"")</f>
        <v/>
      </c>
      <c r="BW186" s="20"/>
      <c r="CC186" s="20"/>
      <c r="CD186" s="89" t="str">
        <f>IFERROR(VLOOKUP($V$4,CC188:CH220,$V$5,FALSE)*100,"")</f>
        <v/>
      </c>
      <c r="CE186" s="89" t="str">
        <f>IFERROR(VLOOKUP($W$4,CC188:CH220,$W$5,FALSE)*100,"")</f>
        <v/>
      </c>
      <c r="CF186" s="89" t="str">
        <f>IFERROR(VLOOKUP($X$4,CC188:CH220,$X$5,FALSE)*100,"")</f>
        <v/>
      </c>
      <c r="CG186" s="89" t="str">
        <f>IFERROR(VLOOKUP($Y$4,CC188:CH220,$Y$5,FALSE)*100,"")</f>
        <v/>
      </c>
      <c r="CH186" s="89" t="str">
        <f>IFERROR(VLOOKUP($Z$4,CC188:CH220,$Z$5,FALSE)*100,"")</f>
        <v/>
      </c>
      <c r="CI186" s="20"/>
    </row>
    <row r="187" spans="21:92" x14ac:dyDescent="0.2">
      <c r="U187" t="s">
        <v>189</v>
      </c>
      <c r="V187" s="14" t="str">
        <f>master!$E$3</f>
        <v>General</v>
      </c>
      <c r="W187" s="14" t="str">
        <f>master!$E$4</f>
        <v>Physical</v>
      </c>
      <c r="X187" s="14" t="str">
        <f>master!$E$5</f>
        <v>Activity</v>
      </c>
      <c r="Y187" s="14" t="str">
        <f>master!$E$6</f>
        <v>Mental</v>
      </c>
      <c r="Z187" s="25" t="str">
        <f>master!$E$7</f>
        <v>Motivation</v>
      </c>
      <c r="AA187" t="s">
        <v>189</v>
      </c>
      <c r="AB187" s="14" t="str">
        <f>master!$E$3</f>
        <v>General</v>
      </c>
      <c r="AC187" s="14" t="str">
        <f>master!$E$4</f>
        <v>Physical</v>
      </c>
      <c r="AD187" s="14" t="str">
        <f>master!$E$5</f>
        <v>Activity</v>
      </c>
      <c r="AE187" s="14" t="str">
        <f>master!$E$6</f>
        <v>Mental</v>
      </c>
      <c r="AF187" s="25" t="str">
        <f>master!$E$7</f>
        <v>Motivation</v>
      </c>
      <c r="AG187" t="s">
        <v>189</v>
      </c>
      <c r="AH187" s="14" t="str">
        <f>master!$E$3</f>
        <v>General</v>
      </c>
      <c r="AI187" s="14" t="str">
        <f>master!$E$4</f>
        <v>Physical</v>
      </c>
      <c r="AJ187" s="14" t="str">
        <f>master!$E$5</f>
        <v>Activity</v>
      </c>
      <c r="AK187" s="14" t="str">
        <f>master!$E$6</f>
        <v>Mental</v>
      </c>
      <c r="AL187" s="25" t="str">
        <f>master!$E$7</f>
        <v>Motivation</v>
      </c>
      <c r="AM187" t="s">
        <v>189</v>
      </c>
      <c r="AN187" s="14" t="str">
        <f>master!$E$3</f>
        <v>General</v>
      </c>
      <c r="AO187" s="14" t="str">
        <f>master!$E$4</f>
        <v>Physical</v>
      </c>
      <c r="AP187" s="14" t="str">
        <f>master!$E$5</f>
        <v>Activity</v>
      </c>
      <c r="AQ187" s="14" t="str">
        <f>master!$E$6</f>
        <v>Mental</v>
      </c>
      <c r="AR187" s="25" t="str">
        <f>master!$E$7</f>
        <v>Motivation</v>
      </c>
      <c r="AS187" t="s">
        <v>189</v>
      </c>
      <c r="AT187" s="14" t="str">
        <f>master!$E$3</f>
        <v>General</v>
      </c>
      <c r="AU187" s="14" t="str">
        <f>master!$E$4</f>
        <v>Physical</v>
      </c>
      <c r="AV187" s="14" t="str">
        <f>master!$E$5</f>
        <v>Activity</v>
      </c>
      <c r="AW187" s="14" t="str">
        <f>master!$E$6</f>
        <v>Mental</v>
      </c>
      <c r="AX187" s="25" t="str">
        <f>master!$E$7</f>
        <v>Motivation</v>
      </c>
      <c r="AY187" t="s">
        <v>189</v>
      </c>
      <c r="AZ187" s="14" t="str">
        <f>master!$E$3</f>
        <v>General</v>
      </c>
      <c r="BA187" s="14" t="str">
        <f>master!$E$4</f>
        <v>Physical</v>
      </c>
      <c r="BB187" s="14" t="str">
        <f>master!$E$5</f>
        <v>Activity</v>
      </c>
      <c r="BC187" s="14" t="str">
        <f>master!$E$6</f>
        <v>Mental</v>
      </c>
      <c r="BD187" s="25" t="str">
        <f>master!$E$7</f>
        <v>Motivation</v>
      </c>
      <c r="BE187" t="s">
        <v>189</v>
      </c>
      <c r="BF187" s="14" t="str">
        <f>master!$E$3</f>
        <v>General</v>
      </c>
      <c r="BG187" s="14" t="str">
        <f>master!$E$4</f>
        <v>Physical</v>
      </c>
      <c r="BH187" s="14" t="str">
        <f>master!$E$5</f>
        <v>Activity</v>
      </c>
      <c r="BI187" s="14" t="str">
        <f>master!$E$6</f>
        <v>Mental</v>
      </c>
      <c r="BJ187" s="25" t="str">
        <f>master!$E$7</f>
        <v>Motivation</v>
      </c>
      <c r="BK187" t="s">
        <v>189</v>
      </c>
      <c r="BL187" s="14" t="str">
        <f>master!$E$3</f>
        <v>General</v>
      </c>
      <c r="BM187" s="14" t="str">
        <f>master!$E$4</f>
        <v>Physical</v>
      </c>
      <c r="BN187" s="14" t="str">
        <f>master!$E$5</f>
        <v>Activity</v>
      </c>
      <c r="BO187" s="14" t="str">
        <f>master!$E$6</f>
        <v>Mental</v>
      </c>
      <c r="BP187" s="25" t="str">
        <f>master!$E$7</f>
        <v>Motivation</v>
      </c>
      <c r="BQ187" t="s">
        <v>189</v>
      </c>
      <c r="BR187" s="14" t="str">
        <f>master!$E$3</f>
        <v>General</v>
      </c>
      <c r="BS187" s="14" t="str">
        <f>master!$E$4</f>
        <v>Physical</v>
      </c>
      <c r="BT187" s="14" t="str">
        <f>master!$E$5</f>
        <v>Activity</v>
      </c>
      <c r="BU187" s="14" t="str">
        <f>master!$E$6</f>
        <v>Mental</v>
      </c>
      <c r="BV187" s="25" t="str">
        <f>master!$E$7</f>
        <v>Motivation</v>
      </c>
      <c r="BW187" t="s">
        <v>189</v>
      </c>
      <c r="BX187" s="14" t="str">
        <f>master!$E$3</f>
        <v>General</v>
      </c>
      <c r="BY187" s="14" t="str">
        <f>master!$E$4</f>
        <v>Physical</v>
      </c>
      <c r="BZ187" s="14" t="str">
        <f>master!$E$5</f>
        <v>Activity</v>
      </c>
      <c r="CA187" s="14" t="str">
        <f>master!$E$6</f>
        <v>Mental</v>
      </c>
      <c r="CB187" s="25" t="str">
        <f>master!$E$7</f>
        <v>Motivation</v>
      </c>
      <c r="CC187" t="s">
        <v>189</v>
      </c>
      <c r="CD187" s="14" t="str">
        <f>master!$E$3</f>
        <v>General</v>
      </c>
      <c r="CE187" s="14" t="str">
        <f>master!$E$4</f>
        <v>Physical</v>
      </c>
      <c r="CF187" s="14" t="str">
        <f>master!$E$5</f>
        <v>Activity</v>
      </c>
      <c r="CG187" s="14" t="str">
        <f>master!$E$6</f>
        <v>Mental</v>
      </c>
      <c r="CH187" s="25" t="str">
        <f>master!$E$7</f>
        <v>Motivation</v>
      </c>
      <c r="CI187" t="s">
        <v>189</v>
      </c>
      <c r="CJ187" s="14" t="str">
        <f>master!$E$3</f>
        <v>General</v>
      </c>
      <c r="CK187" s="14" t="str">
        <f>master!$E$4</f>
        <v>Physical</v>
      </c>
      <c r="CL187" s="14" t="str">
        <f>master!$E$5</f>
        <v>Activity</v>
      </c>
      <c r="CM187" s="14" t="str">
        <f>master!$E$6</f>
        <v>Mental</v>
      </c>
      <c r="CN187" s="25" t="str">
        <f>master!$E$7</f>
        <v>Motivation</v>
      </c>
    </row>
    <row r="188" spans="21:92" x14ac:dyDescent="0.2">
      <c r="U188" s="16">
        <f>normalitet!B$4</f>
        <v>4</v>
      </c>
      <c r="V188">
        <v>9.77101381380239E-2</v>
      </c>
      <c r="W188">
        <v>0.13792251813178361</v>
      </c>
      <c r="X188">
        <v>0.15992142056632511</v>
      </c>
      <c r="Y188">
        <v>0.170150205611695</v>
      </c>
      <c r="Z188">
        <v>0.18863251091235789</v>
      </c>
      <c r="AA188" s="10">
        <f>normalitet!B$4</f>
        <v>4</v>
      </c>
      <c r="AB188">
        <v>5.0715309003829381E-2</v>
      </c>
      <c r="AC188">
        <v>7.4278059794604584E-2</v>
      </c>
      <c r="AD188">
        <v>9.0267895944105656E-2</v>
      </c>
      <c r="AE188">
        <v>9.4251106153684441E-2</v>
      </c>
      <c r="AF188">
        <v>0.10273655057746631</v>
      </c>
      <c r="AG188" s="16">
        <f>normalitet!B$4</f>
        <v>4</v>
      </c>
      <c r="AH188">
        <v>0.115511812105591</v>
      </c>
      <c r="AI188">
        <v>0.14725378957076321</v>
      </c>
      <c r="AJ188">
        <v>0.20127852393181911</v>
      </c>
      <c r="AK188">
        <v>0.20088201617060261</v>
      </c>
      <c r="AL188">
        <v>0.20589903736712861</v>
      </c>
      <c r="AM188" s="10">
        <f>normalitet!B$4</f>
        <v>4</v>
      </c>
      <c r="AN188">
        <v>5.9422314506022297E-2</v>
      </c>
      <c r="AO188">
        <v>7.8915436289389032E-2</v>
      </c>
      <c r="AP188">
        <v>0.1087386714446737</v>
      </c>
      <c r="AQ188">
        <v>0.1153085297392923</v>
      </c>
      <c r="AR188">
        <v>0.11399043671757909</v>
      </c>
      <c r="AS188" s="16">
        <f>normalitet!B$4</f>
        <v>4</v>
      </c>
      <c r="AT188">
        <v>0.13083380572037809</v>
      </c>
      <c r="AU188">
        <v>0.12644657041777951</v>
      </c>
      <c r="AV188">
        <v>0.20218891447670259</v>
      </c>
      <c r="AW188">
        <v>0.1484520155540083</v>
      </c>
      <c r="AX188">
        <v>0.25730327543362391</v>
      </c>
      <c r="AY188" s="10">
        <f>normalitet!B$4</f>
        <v>4</v>
      </c>
      <c r="AZ188">
        <v>6.8399935752000637E-2</v>
      </c>
      <c r="BA188">
        <v>6.6080429935442164E-2</v>
      </c>
      <c r="BB188">
        <v>0.1142517251318758</v>
      </c>
      <c r="BC188">
        <v>8.0551419800935137E-2</v>
      </c>
      <c r="BD188">
        <v>0.13919160253226659</v>
      </c>
      <c r="BE188" s="16">
        <f>normalitet!B$4</f>
        <v>4</v>
      </c>
      <c r="BF188">
        <v>0.10136505225287019</v>
      </c>
      <c r="BG188">
        <v>0.1106231215194677</v>
      </c>
      <c r="BH188">
        <v>0.1537991454892608</v>
      </c>
      <c r="BI188">
        <v>0.1538988272574873</v>
      </c>
      <c r="BJ188">
        <v>0.16269888182451711</v>
      </c>
      <c r="BK188" s="10">
        <f>normalitet!B$4</f>
        <v>4</v>
      </c>
      <c r="BL188">
        <v>5.2939454963400683E-2</v>
      </c>
      <c r="BM188">
        <v>5.7515120165903107E-2</v>
      </c>
      <c r="BN188">
        <v>8.1329659195059717E-2</v>
      </c>
      <c r="BO188">
        <v>8.3680336160509031E-2</v>
      </c>
      <c r="BP188">
        <v>8.8521198736843582E-2</v>
      </c>
      <c r="BQ188" s="16">
        <f>normalitet!B$4</f>
        <v>4</v>
      </c>
      <c r="BR188">
        <v>0.15387455839375319</v>
      </c>
      <c r="BS188">
        <v>0.1183363942332058</v>
      </c>
      <c r="BT188">
        <v>0.16362568893784879</v>
      </c>
      <c r="BU188">
        <v>0.20125776833723291</v>
      </c>
      <c r="BV188">
        <v>0.19331539888588389</v>
      </c>
      <c r="BW188" s="10">
        <f>normalitet!B$4</f>
        <v>4</v>
      </c>
      <c r="BX188">
        <v>8.0312160547929251E-2</v>
      </c>
      <c r="BY188">
        <v>6.264156653023073E-2</v>
      </c>
      <c r="BZ188">
        <v>8.590652118157624E-2</v>
      </c>
      <c r="CA188">
        <v>0.1090952606145697</v>
      </c>
      <c r="CB188">
        <v>0.106866762238765</v>
      </c>
      <c r="CC188" s="16">
        <f>normalitet!B$4</f>
        <v>4</v>
      </c>
      <c r="CD188">
        <v>0.1184035953648991</v>
      </c>
      <c r="CE188">
        <v>9.7944166474704275E-2</v>
      </c>
      <c r="CF188">
        <v>9.9141227920851893E-2</v>
      </c>
      <c r="CG188">
        <v>0.18387228517538359</v>
      </c>
      <c r="CH188">
        <v>0.13644760213569709</v>
      </c>
      <c r="CI188" s="10">
        <f>normalitet!B$4</f>
        <v>4</v>
      </c>
      <c r="CJ188">
        <v>6.4242331720602563E-2</v>
      </c>
      <c r="CK188">
        <v>5.2594787194740589E-2</v>
      </c>
      <c r="CL188">
        <v>5.4209189977753897E-2</v>
      </c>
      <c r="CM188">
        <v>9.7464671771742728E-2</v>
      </c>
      <c r="CN188">
        <v>7.2724561326257944E-2</v>
      </c>
    </row>
    <row r="189" spans="21:92" x14ac:dyDescent="0.2">
      <c r="U189" s="86">
        <f>U188+1</f>
        <v>5</v>
      </c>
      <c r="V189">
        <v>0.19046055661231071</v>
      </c>
      <c r="W189">
        <v>0.27383512084481559</v>
      </c>
      <c r="X189">
        <v>0.31052088589414661</v>
      </c>
      <c r="Y189">
        <v>0.32936093429678698</v>
      </c>
      <c r="Z189">
        <v>0.36079474917611098</v>
      </c>
      <c r="AA189" s="10">
        <f>AA188+0.5</f>
        <v>4.5</v>
      </c>
      <c r="AB189">
        <v>5.0249700809693001E-2</v>
      </c>
      <c r="AC189">
        <v>7.2236490722841468E-2</v>
      </c>
      <c r="AD189">
        <v>8.5276006078319533E-2</v>
      </c>
      <c r="AE189">
        <v>9.079571642885928E-2</v>
      </c>
      <c r="AF189">
        <v>0.1006934506406256</v>
      </c>
      <c r="AG189" s="86">
        <f>AG188+1</f>
        <v>5</v>
      </c>
      <c r="AH189">
        <v>0.22348730633582789</v>
      </c>
      <c r="AI189">
        <v>0.28397586043295658</v>
      </c>
      <c r="AJ189">
        <v>0.37689825496944312</v>
      </c>
      <c r="AK189">
        <v>0.38555260655095192</v>
      </c>
      <c r="AL189">
        <v>0.40637736154660908</v>
      </c>
      <c r="AM189" s="10">
        <f>AM188+0.5</f>
        <v>4.5</v>
      </c>
      <c r="AN189">
        <v>5.8888719338667857E-2</v>
      </c>
      <c r="AO189">
        <v>7.7733264198727933E-2</v>
      </c>
      <c r="AP189">
        <v>0.1063512851833902</v>
      </c>
      <c r="AQ189">
        <v>0.1091780130578844</v>
      </c>
      <c r="AR189">
        <v>0.11104440868516249</v>
      </c>
      <c r="AS189" s="86">
        <f>AS188+1</f>
        <v>5</v>
      </c>
      <c r="AT189">
        <v>0.2496629799776024</v>
      </c>
      <c r="AU189">
        <v>0.24509394363458559</v>
      </c>
      <c r="AV189">
        <v>0.39439960405786417</v>
      </c>
      <c r="AW189">
        <v>0.29169786351370952</v>
      </c>
      <c r="AX189">
        <v>0.44545217555821071</v>
      </c>
      <c r="AY189" s="10">
        <f>AY188+0.5</f>
        <v>4.5</v>
      </c>
      <c r="AZ189">
        <v>6.7211540367859951E-2</v>
      </c>
      <c r="BA189">
        <v>6.5357273966868079E-2</v>
      </c>
      <c r="BB189">
        <v>0.1098834311574267</v>
      </c>
      <c r="BC189">
        <v>7.8219267741553578E-2</v>
      </c>
      <c r="BD189">
        <v>0.12593919916342061</v>
      </c>
      <c r="BE189" s="86">
        <f>BE188+1</f>
        <v>5</v>
      </c>
      <c r="BF189">
        <v>0.1972452200737024</v>
      </c>
      <c r="BG189">
        <v>0.2099816646979695</v>
      </c>
      <c r="BH189">
        <v>0.2898840984842399</v>
      </c>
      <c r="BI189">
        <v>0.29680750874626899</v>
      </c>
      <c r="BJ189">
        <v>0.30714532186979221</v>
      </c>
      <c r="BK189" s="10">
        <f>BK188+0.5</f>
        <v>4.5</v>
      </c>
      <c r="BL189">
        <v>5.2349415636145001E-2</v>
      </c>
      <c r="BM189">
        <v>5.6065798883985843E-2</v>
      </c>
      <c r="BN189">
        <v>7.961362619604738E-2</v>
      </c>
      <c r="BO189">
        <v>8.1621630318877425E-2</v>
      </c>
      <c r="BP189">
        <v>8.5562308284654762E-2</v>
      </c>
      <c r="BQ189" s="86">
        <f>BQ188+1</f>
        <v>5</v>
      </c>
      <c r="BR189">
        <v>0.28968041834035752</v>
      </c>
      <c r="BS189">
        <v>0.2285888646870522</v>
      </c>
      <c r="BT189">
        <v>0.30511913597286061</v>
      </c>
      <c r="BU189">
        <v>0.37371405936999141</v>
      </c>
      <c r="BV189">
        <v>0.36290939970578168</v>
      </c>
      <c r="BW189" s="10">
        <f>BW188+0.5</f>
        <v>4.5</v>
      </c>
      <c r="BX189">
        <v>7.7668852355038009E-2</v>
      </c>
      <c r="BY189">
        <v>6.1832029601307542E-2</v>
      </c>
      <c r="BZ189">
        <v>8.2740266339468668E-2</v>
      </c>
      <c r="CA189">
        <v>0.1062084678714018</v>
      </c>
      <c r="CB189">
        <v>0.1038537332385097</v>
      </c>
      <c r="CC189" s="86">
        <f>CC188+1</f>
        <v>5</v>
      </c>
      <c r="CD189">
        <v>0.23429022358452931</v>
      </c>
      <c r="CE189">
        <v>0.19388145210937949</v>
      </c>
      <c r="CF189">
        <v>0.19665889597847661</v>
      </c>
      <c r="CG189">
        <v>0.3400721533467711</v>
      </c>
      <c r="CH189">
        <v>0.27143104720682448</v>
      </c>
      <c r="CI189" s="10">
        <f>CI188+0.5</f>
        <v>4.5</v>
      </c>
      <c r="CJ189">
        <v>6.3069961950164094E-2</v>
      </c>
      <c r="CK189">
        <v>5.1791684199033343E-2</v>
      </c>
      <c r="CL189">
        <v>5.2787067238011798E-2</v>
      </c>
      <c r="CM189">
        <v>9.3393889988491477E-2</v>
      </c>
      <c r="CN189">
        <v>7.1603835217485229E-2</v>
      </c>
    </row>
    <row r="190" spans="21:92" x14ac:dyDescent="0.2">
      <c r="U190" s="86">
        <f t="shared" ref="U190:U220" si="43">U189+1</f>
        <v>6</v>
      </c>
      <c r="V190">
        <v>0.27971352054272441</v>
      </c>
      <c r="W190">
        <v>0.40235493219934171</v>
      </c>
      <c r="X190">
        <v>0.4268765850520635</v>
      </c>
      <c r="Y190">
        <v>0.45626044457704479</v>
      </c>
      <c r="Z190">
        <v>0.49859873729945242</v>
      </c>
      <c r="AA190" s="10">
        <f t="shared" ref="AA190:AA220" si="44">AA189+0.5</f>
        <v>5</v>
      </c>
      <c r="AB190">
        <v>4.8097282914153258E-2</v>
      </c>
      <c r="AC190">
        <v>6.9637792296087811E-2</v>
      </c>
      <c r="AD190">
        <v>7.7354605294658596E-2</v>
      </c>
      <c r="AE190">
        <v>8.3018523773772016E-2</v>
      </c>
      <c r="AF190">
        <v>9.1965505502053957E-2</v>
      </c>
      <c r="AG190" s="86">
        <f t="shared" ref="AG190:AG220" si="45">AG189+1</f>
        <v>6</v>
      </c>
      <c r="AH190">
        <v>0.32656438401775711</v>
      </c>
      <c r="AI190">
        <v>0.40226535543470932</v>
      </c>
      <c r="AJ190">
        <v>0.51400416166949026</v>
      </c>
      <c r="AK190">
        <v>0.50490989468426584</v>
      </c>
      <c r="AL190">
        <v>0.54944788824352797</v>
      </c>
      <c r="AM190" s="10">
        <f t="shared" ref="AM190:AM220" si="46">AM189+0.5</f>
        <v>5</v>
      </c>
      <c r="AN190">
        <v>5.7562207222897163E-2</v>
      </c>
      <c r="AO190">
        <v>7.2212187068939032E-2</v>
      </c>
      <c r="AP190">
        <v>9.6396681229561812E-2</v>
      </c>
      <c r="AQ190">
        <v>9.5312615833830466E-2</v>
      </c>
      <c r="AR190">
        <v>0.1031107990495571</v>
      </c>
      <c r="AS190" s="86">
        <f t="shared" ref="AS190:AS220" si="47">AS189+1</f>
        <v>6</v>
      </c>
      <c r="AT190">
        <v>0.35553313165225231</v>
      </c>
      <c r="AU190">
        <v>0.35490898698670348</v>
      </c>
      <c r="AV190">
        <v>0.52594112433825968</v>
      </c>
      <c r="AW190">
        <v>0.41999626526887879</v>
      </c>
      <c r="AX190">
        <v>0.57851565373743374</v>
      </c>
      <c r="AY190" s="10">
        <f t="shared" ref="AY190:AY220" si="48">AY189+0.5</f>
        <v>5</v>
      </c>
      <c r="AZ190">
        <v>6.3502080496249627E-2</v>
      </c>
      <c r="BA190">
        <v>6.2522956538324709E-2</v>
      </c>
      <c r="BB190">
        <v>9.9063596768653367E-2</v>
      </c>
      <c r="BC190">
        <v>7.3964610854876781E-2</v>
      </c>
      <c r="BD190">
        <v>0.1052487550956735</v>
      </c>
      <c r="BE190" s="86">
        <f t="shared" ref="BE190:BE220" si="49">BE189+1</f>
        <v>6</v>
      </c>
      <c r="BF190">
        <v>0.28022818052992798</v>
      </c>
      <c r="BG190">
        <v>0.29708478130541449</v>
      </c>
      <c r="BH190">
        <v>0.40305182419107261</v>
      </c>
      <c r="BI190">
        <v>0.41468524862749062</v>
      </c>
      <c r="BJ190">
        <v>0.41458562149164002</v>
      </c>
      <c r="BK190" s="10">
        <f t="shared" ref="BK190:BK220" si="50">BK189+0.5</f>
        <v>5</v>
      </c>
      <c r="BL190">
        <v>4.9935498159302913E-2</v>
      </c>
      <c r="BM190">
        <v>5.2776396842062992E-2</v>
      </c>
      <c r="BN190">
        <v>7.3715450635440133E-2</v>
      </c>
      <c r="BO190">
        <v>7.4600181758273723E-2</v>
      </c>
      <c r="BP190">
        <v>7.4744578166360529E-2</v>
      </c>
      <c r="BQ190" s="86">
        <f t="shared" ref="BQ190:BQ220" si="51">BQ189+1</f>
        <v>6</v>
      </c>
      <c r="BR190">
        <v>0.40404022380266619</v>
      </c>
      <c r="BS190">
        <v>0.32180375939685418</v>
      </c>
      <c r="BT190">
        <v>0.42187435429553533</v>
      </c>
      <c r="BU190">
        <v>0.50077440456184996</v>
      </c>
      <c r="BV190">
        <v>0.48207327649502008</v>
      </c>
      <c r="BW190" s="10">
        <f t="shared" ref="BW190:BW220" si="52">BW189+0.5</f>
        <v>5</v>
      </c>
      <c r="BX190">
        <v>7.3372065375439083E-2</v>
      </c>
      <c r="BY190">
        <v>5.8234641041443123E-2</v>
      </c>
      <c r="BZ190">
        <v>7.7331837937778675E-2</v>
      </c>
      <c r="CA190">
        <v>9.4649189396579486E-2</v>
      </c>
      <c r="CB190">
        <v>9.0720092080764841E-2</v>
      </c>
      <c r="CC190" s="86">
        <f t="shared" ref="CC190:CC220" si="53">CC189+1</f>
        <v>6</v>
      </c>
      <c r="CD190">
        <v>0.33151379509588241</v>
      </c>
      <c r="CE190">
        <v>0.2770788373668176</v>
      </c>
      <c r="CF190">
        <v>0.27981471435621769</v>
      </c>
      <c r="CG190">
        <v>0.46390065598496699</v>
      </c>
      <c r="CH190">
        <v>0.39322592395472278</v>
      </c>
      <c r="CI190" s="10">
        <f t="shared" ref="CI190:CI220" si="54">CI189+0.5</f>
        <v>5</v>
      </c>
      <c r="CJ190">
        <v>6.0403876242374081E-2</v>
      </c>
      <c r="CK190">
        <v>4.980993050295985E-2</v>
      </c>
      <c r="CL190">
        <v>5.085658270221035E-2</v>
      </c>
      <c r="CM190">
        <v>8.609523699680853E-2</v>
      </c>
      <c r="CN190">
        <v>6.9122959807130332E-2</v>
      </c>
    </row>
    <row r="191" spans="21:92" x14ac:dyDescent="0.2">
      <c r="U191" s="86">
        <f t="shared" si="43"/>
        <v>7</v>
      </c>
      <c r="V191">
        <v>0.37110794837901362</v>
      </c>
      <c r="W191">
        <v>0.52157974877675872</v>
      </c>
      <c r="X191">
        <v>0.53619163260872527</v>
      </c>
      <c r="Y191">
        <v>0.56301509105628111</v>
      </c>
      <c r="Z191">
        <v>0.59961958973121388</v>
      </c>
      <c r="AA191" s="10">
        <f t="shared" si="44"/>
        <v>5.5</v>
      </c>
      <c r="AB191">
        <v>4.6136821960285228E-2</v>
      </c>
      <c r="AC191">
        <v>6.6794395709905668E-2</v>
      </c>
      <c r="AD191">
        <v>6.7268279679386506E-2</v>
      </c>
      <c r="AE191">
        <v>7.3318604500051482E-2</v>
      </c>
      <c r="AF191">
        <v>8.1357417126666859E-2</v>
      </c>
      <c r="AG191" s="86">
        <f t="shared" si="45"/>
        <v>7</v>
      </c>
      <c r="AH191">
        <v>0.41328211658680458</v>
      </c>
      <c r="AI191">
        <v>0.5002475452601175</v>
      </c>
      <c r="AJ191">
        <v>0.60784301605656899</v>
      </c>
      <c r="AK191">
        <v>0.60101086730180175</v>
      </c>
      <c r="AL191">
        <v>0.65364969020064434</v>
      </c>
      <c r="AM191" s="10">
        <f t="shared" si="46"/>
        <v>5.5</v>
      </c>
      <c r="AN191">
        <v>5.4935465870259222E-2</v>
      </c>
      <c r="AO191">
        <v>6.6052449030753621E-2</v>
      </c>
      <c r="AP191">
        <v>8.3395024610719001E-2</v>
      </c>
      <c r="AQ191">
        <v>7.8196984431495073E-2</v>
      </c>
      <c r="AR191">
        <v>9.0592138668432229E-2</v>
      </c>
      <c r="AS191" s="86">
        <f t="shared" si="47"/>
        <v>7</v>
      </c>
      <c r="AT191">
        <v>0.44544162305404589</v>
      </c>
      <c r="AU191">
        <v>0.45188775734826447</v>
      </c>
      <c r="AV191">
        <v>0.63097777544673761</v>
      </c>
      <c r="AW191">
        <v>0.53771823128887775</v>
      </c>
      <c r="AX191">
        <v>0.67730034870291689</v>
      </c>
      <c r="AY191" s="10">
        <f t="shared" si="48"/>
        <v>5.5</v>
      </c>
      <c r="AZ191">
        <v>5.8332070963206382E-2</v>
      </c>
      <c r="BA191">
        <v>5.9024982494348337E-2</v>
      </c>
      <c r="BB191">
        <v>8.4182476367234735E-2</v>
      </c>
      <c r="BC191">
        <v>6.8830883302395923E-2</v>
      </c>
      <c r="BD191">
        <v>8.340791619795572E-2</v>
      </c>
      <c r="BE191" s="86">
        <f t="shared" si="49"/>
        <v>7</v>
      </c>
      <c r="BF191">
        <v>0.35151800306477549</v>
      </c>
      <c r="BG191">
        <v>0.37180740413269142</v>
      </c>
      <c r="BH191">
        <v>0.48873162982051321</v>
      </c>
      <c r="BI191">
        <v>0.51985267586581141</v>
      </c>
      <c r="BJ191">
        <v>0.51415739923842219</v>
      </c>
      <c r="BK191" s="10">
        <f t="shared" si="50"/>
        <v>5.5</v>
      </c>
      <c r="BL191">
        <v>4.713788152767491E-2</v>
      </c>
      <c r="BM191">
        <v>4.8091697702661078E-2</v>
      </c>
      <c r="BN191">
        <v>6.5496863539991221E-2</v>
      </c>
      <c r="BO191">
        <v>6.6724960930411928E-2</v>
      </c>
      <c r="BP191">
        <v>6.2977134245267907E-2</v>
      </c>
      <c r="BQ191" s="86">
        <f t="shared" si="51"/>
        <v>7</v>
      </c>
      <c r="BR191">
        <v>0.49088940028059608</v>
      </c>
      <c r="BS191">
        <v>0.40059951859148613</v>
      </c>
      <c r="BT191">
        <v>0.5085157393647648</v>
      </c>
      <c r="BU191">
        <v>0.58404773593440451</v>
      </c>
      <c r="BV191">
        <v>0.571726394596202</v>
      </c>
      <c r="BW191" s="10">
        <f t="shared" si="52"/>
        <v>5.5</v>
      </c>
      <c r="BX191">
        <v>6.6480050778446154E-2</v>
      </c>
      <c r="BY191">
        <v>5.3923158066388067E-2</v>
      </c>
      <c r="BZ191">
        <v>6.854300773528621E-2</v>
      </c>
      <c r="CA191">
        <v>7.9631629703883405E-2</v>
      </c>
      <c r="CB191">
        <v>7.5409696541212254E-2</v>
      </c>
      <c r="CC191" s="86">
        <f t="shared" si="53"/>
        <v>7</v>
      </c>
      <c r="CD191">
        <v>0.41356712677372148</v>
      </c>
      <c r="CE191">
        <v>0.35013490678216602</v>
      </c>
      <c r="CF191">
        <v>0.35049018088618122</v>
      </c>
      <c r="CG191">
        <v>0.55328515716429449</v>
      </c>
      <c r="CH191">
        <v>0.506530768553207</v>
      </c>
      <c r="CI191" s="10">
        <f t="shared" si="54"/>
        <v>5.5</v>
      </c>
      <c r="CJ191">
        <v>5.5866999670262318E-2</v>
      </c>
      <c r="CK191">
        <v>4.6669081792007468E-2</v>
      </c>
      <c r="CL191">
        <v>4.7294866726036423E-2</v>
      </c>
      <c r="CM191">
        <v>7.5183833415327694E-2</v>
      </c>
      <c r="CN191">
        <v>6.6808538568524839E-2</v>
      </c>
    </row>
    <row r="192" spans="21:92" x14ac:dyDescent="0.2">
      <c r="U192" s="86">
        <f t="shared" si="43"/>
        <v>8</v>
      </c>
      <c r="V192">
        <v>0.46893230972178879</v>
      </c>
      <c r="W192">
        <v>0.62466866197969562</v>
      </c>
      <c r="X192">
        <v>0.63710183676479781</v>
      </c>
      <c r="Y192">
        <v>0.65368408391361843</v>
      </c>
      <c r="Z192">
        <v>0.67686188103599565</v>
      </c>
      <c r="AA192" s="10">
        <f t="shared" si="44"/>
        <v>6</v>
      </c>
      <c r="AB192">
        <v>4.4632065122605348E-2</v>
      </c>
      <c r="AC192">
        <v>6.6031778770426833E-2</v>
      </c>
      <c r="AD192">
        <v>5.9858740742831332E-2</v>
      </c>
      <c r="AE192">
        <v>6.5226142224133726E-2</v>
      </c>
      <c r="AF192">
        <v>7.0576029214958008E-2</v>
      </c>
      <c r="AG192" s="86">
        <f t="shared" si="45"/>
        <v>8</v>
      </c>
      <c r="AH192">
        <v>0.49131975285488888</v>
      </c>
      <c r="AI192">
        <v>0.58499911631258839</v>
      </c>
      <c r="AJ192">
        <v>0.68040772036809327</v>
      </c>
      <c r="AK192">
        <v>0.68431232298315203</v>
      </c>
      <c r="AL192">
        <v>0.72434470203432233</v>
      </c>
      <c r="AM192" s="10">
        <f t="shared" si="46"/>
        <v>6</v>
      </c>
      <c r="AN192">
        <v>5.1827001351818898E-2</v>
      </c>
      <c r="AO192">
        <v>6.0141526229209541E-2</v>
      </c>
      <c r="AP192">
        <v>6.9573172651567261E-2</v>
      </c>
      <c r="AQ192">
        <v>6.2744108061976292E-2</v>
      </c>
      <c r="AR192">
        <v>7.7384542375393245E-2</v>
      </c>
      <c r="AS192" s="86">
        <f t="shared" si="47"/>
        <v>8</v>
      </c>
      <c r="AT192">
        <v>0.52842528444783232</v>
      </c>
      <c r="AU192">
        <v>0.54175053208532276</v>
      </c>
      <c r="AV192">
        <v>0.71574593494044148</v>
      </c>
      <c r="AW192">
        <v>0.64049295283992191</v>
      </c>
      <c r="AX192">
        <v>0.77109754996334745</v>
      </c>
      <c r="AY192" s="10">
        <f t="shared" si="48"/>
        <v>6</v>
      </c>
      <c r="AZ192">
        <v>5.3240345575889393E-2</v>
      </c>
      <c r="BA192">
        <v>5.5388980431534778E-2</v>
      </c>
      <c r="BB192">
        <v>7.0127208491750567E-2</v>
      </c>
      <c r="BC192">
        <v>6.5865790116639997E-2</v>
      </c>
      <c r="BD192">
        <v>6.6740400392606411E-2</v>
      </c>
      <c r="BE192" s="86">
        <f t="shared" si="49"/>
        <v>8</v>
      </c>
      <c r="BF192">
        <v>0.41316501117260368</v>
      </c>
      <c r="BG192">
        <v>0.44504342440598088</v>
      </c>
      <c r="BH192">
        <v>0.56289221109170395</v>
      </c>
      <c r="BI192">
        <v>0.61509670724667198</v>
      </c>
      <c r="BJ192">
        <v>0.62711096609241146</v>
      </c>
      <c r="BK192" s="10">
        <f t="shared" si="50"/>
        <v>6</v>
      </c>
      <c r="BL192">
        <v>4.3157496497801533E-2</v>
      </c>
      <c r="BM192">
        <v>4.3827653962857559E-2</v>
      </c>
      <c r="BN192">
        <v>5.6994028437143282E-2</v>
      </c>
      <c r="BO192">
        <v>5.9930416237737552E-2</v>
      </c>
      <c r="BP192">
        <v>5.4470544274125718E-2</v>
      </c>
      <c r="BQ192" s="86">
        <f t="shared" si="51"/>
        <v>8</v>
      </c>
      <c r="BR192">
        <v>0.56205492987356842</v>
      </c>
      <c r="BS192">
        <v>0.47009265346912299</v>
      </c>
      <c r="BT192">
        <v>0.58105792842899584</v>
      </c>
      <c r="BU192">
        <v>0.65250982708547822</v>
      </c>
      <c r="BV192">
        <v>0.65142505040497678</v>
      </c>
      <c r="BW192" s="10">
        <f t="shared" si="52"/>
        <v>6</v>
      </c>
      <c r="BX192">
        <v>5.8997257632593357E-2</v>
      </c>
      <c r="BY192">
        <v>4.8542759735148829E-2</v>
      </c>
      <c r="BZ192">
        <v>5.9882201432643299E-2</v>
      </c>
      <c r="CA192">
        <v>6.391614416001444E-2</v>
      </c>
      <c r="CB192">
        <v>6.0348231004912482E-2</v>
      </c>
      <c r="CC192" s="86">
        <f t="shared" si="53"/>
        <v>8</v>
      </c>
      <c r="CD192">
        <v>0.48257166911892391</v>
      </c>
      <c r="CE192">
        <v>0.41320058629440731</v>
      </c>
      <c r="CF192">
        <v>0.41272200809068882</v>
      </c>
      <c r="CG192">
        <v>0.627133286653899</v>
      </c>
      <c r="CH192">
        <v>0.60563310226770584</v>
      </c>
      <c r="CI192" s="10">
        <f t="shared" si="54"/>
        <v>6</v>
      </c>
      <c r="CJ192">
        <v>5.1182545323656327E-2</v>
      </c>
      <c r="CK192">
        <v>4.343821266120361E-2</v>
      </c>
      <c r="CL192">
        <v>4.3555557015360923E-2</v>
      </c>
      <c r="CM192">
        <v>6.3909796589099482E-2</v>
      </c>
      <c r="CN192">
        <v>6.3983367995208332E-2</v>
      </c>
    </row>
    <row r="193" spans="21:92" x14ac:dyDescent="0.2">
      <c r="U193" s="86">
        <f t="shared" si="43"/>
        <v>9</v>
      </c>
      <c r="V193">
        <v>0.57275463772512836</v>
      </c>
      <c r="W193">
        <v>0.70197886559833178</v>
      </c>
      <c r="X193">
        <v>0.71852042003313676</v>
      </c>
      <c r="Y193">
        <v>0.72954798083851424</v>
      </c>
      <c r="Z193">
        <v>0.74098903826428808</v>
      </c>
      <c r="AA193" s="10">
        <f t="shared" si="44"/>
        <v>6.5</v>
      </c>
      <c r="AB193">
        <v>4.4686849406581568E-2</v>
      </c>
      <c r="AC193">
        <v>6.5236999554190211E-2</v>
      </c>
      <c r="AD193">
        <v>5.6317733782063367E-2</v>
      </c>
      <c r="AE193">
        <v>5.8837107732666739E-2</v>
      </c>
      <c r="AF193">
        <v>5.9592048036305148E-2</v>
      </c>
      <c r="AG193" s="86">
        <f t="shared" si="45"/>
        <v>9</v>
      </c>
      <c r="AH193">
        <v>0.56218009583615425</v>
      </c>
      <c r="AI193">
        <v>0.66110929927031437</v>
      </c>
      <c r="AJ193">
        <v>0.74095686161048524</v>
      </c>
      <c r="AK193">
        <v>0.76395605931184896</v>
      </c>
      <c r="AL193">
        <v>0.78249621820749682</v>
      </c>
      <c r="AM193" s="10">
        <f t="shared" si="46"/>
        <v>6.5</v>
      </c>
      <c r="AN193">
        <v>4.872440508446596E-2</v>
      </c>
      <c r="AO193">
        <v>5.4246288228232013E-2</v>
      </c>
      <c r="AP193">
        <v>5.7425339859474969E-2</v>
      </c>
      <c r="AQ193">
        <v>5.355872608879847E-2</v>
      </c>
      <c r="AR193">
        <v>6.4742458377145012E-2</v>
      </c>
      <c r="AS193" s="86">
        <f t="shared" si="47"/>
        <v>9</v>
      </c>
      <c r="AT193">
        <v>0.60511171865529279</v>
      </c>
      <c r="AU193">
        <v>0.62403171722549788</v>
      </c>
      <c r="AV193">
        <v>0.77889222745021058</v>
      </c>
      <c r="AW193">
        <v>0.71919664914470494</v>
      </c>
      <c r="AX193">
        <v>0.84359668328093129</v>
      </c>
      <c r="AY193" s="10">
        <f t="shared" si="48"/>
        <v>6.5</v>
      </c>
      <c r="AZ193">
        <v>4.9641024935173972E-2</v>
      </c>
      <c r="BA193">
        <v>5.2723632132056893E-2</v>
      </c>
      <c r="BB193">
        <v>5.9970209256812741E-2</v>
      </c>
      <c r="BC193">
        <v>6.365330043761315E-2</v>
      </c>
      <c r="BD193">
        <v>5.7812266272212462E-2</v>
      </c>
      <c r="BE193" s="86">
        <f t="shared" si="49"/>
        <v>9</v>
      </c>
      <c r="BF193">
        <v>0.47079311068868313</v>
      </c>
      <c r="BG193">
        <v>0.517714966359483</v>
      </c>
      <c r="BH193">
        <v>0.62988904385055366</v>
      </c>
      <c r="BI193">
        <v>0.70020203992706953</v>
      </c>
      <c r="BJ193">
        <v>0.74015530165283439</v>
      </c>
      <c r="BK193" s="10">
        <f t="shared" si="50"/>
        <v>6.5</v>
      </c>
      <c r="BL193">
        <v>3.9464958553171919E-2</v>
      </c>
      <c r="BM193">
        <v>4.0620577258582292E-2</v>
      </c>
      <c r="BN193">
        <v>5.0159583351236117E-2</v>
      </c>
      <c r="BO193">
        <v>5.5339145346475958E-2</v>
      </c>
      <c r="BP193">
        <v>4.9102629544823827E-2</v>
      </c>
      <c r="BQ193" s="86">
        <f t="shared" si="51"/>
        <v>9</v>
      </c>
      <c r="BR193">
        <v>0.62103674416235566</v>
      </c>
      <c r="BS193">
        <v>0.53569480988769069</v>
      </c>
      <c r="BT193">
        <v>0.64273046365029951</v>
      </c>
      <c r="BU193">
        <v>0.71837293096402921</v>
      </c>
      <c r="BV193">
        <v>0.73285988013127912</v>
      </c>
      <c r="BW193" s="10">
        <f t="shared" si="52"/>
        <v>6.5</v>
      </c>
      <c r="BX193">
        <v>5.1589153372537902E-2</v>
      </c>
      <c r="BY193">
        <v>4.3950831037019883E-2</v>
      </c>
      <c r="BZ193">
        <v>5.1660138806512192E-2</v>
      </c>
      <c r="CA193">
        <v>5.1160394192030841E-2</v>
      </c>
      <c r="CB193">
        <v>4.9393712334759567E-2</v>
      </c>
      <c r="CC193" s="86">
        <f t="shared" si="53"/>
        <v>9</v>
      </c>
      <c r="CD193">
        <v>0.54501407319606132</v>
      </c>
      <c r="CE193">
        <v>0.47060169508211658</v>
      </c>
      <c r="CF193">
        <v>0.46952380296057161</v>
      </c>
      <c r="CG193">
        <v>0.69104316406745925</v>
      </c>
      <c r="CH193">
        <v>0.6874172256095622</v>
      </c>
      <c r="CI193" s="10">
        <f t="shared" si="54"/>
        <v>6.5</v>
      </c>
      <c r="CJ193">
        <v>4.6051035973783572E-2</v>
      </c>
      <c r="CK193">
        <v>4.0046845289117589E-2</v>
      </c>
      <c r="CL193">
        <v>3.9634666941876832E-2</v>
      </c>
      <c r="CM193">
        <v>5.3313428411890962E-2</v>
      </c>
      <c r="CN193">
        <v>6.2298601043266323E-2</v>
      </c>
    </row>
    <row r="194" spans="21:92" x14ac:dyDescent="0.2">
      <c r="U194" s="86">
        <f t="shared" si="43"/>
        <v>10</v>
      </c>
      <c r="V194">
        <v>0.66351801850856451</v>
      </c>
      <c r="W194">
        <v>0.76324976131559796</v>
      </c>
      <c r="X194">
        <v>0.77358692832954079</v>
      </c>
      <c r="Y194">
        <v>0.78781684272842767</v>
      </c>
      <c r="Z194">
        <v>0.79834374905014793</v>
      </c>
      <c r="AA194" s="10">
        <f t="shared" si="44"/>
        <v>7</v>
      </c>
      <c r="AB194">
        <v>4.6299593213793809E-2</v>
      </c>
      <c r="AC194">
        <v>6.379932028175489E-2</v>
      </c>
      <c r="AD194">
        <v>5.5373200431120928E-2</v>
      </c>
      <c r="AE194">
        <v>5.4615093285169523E-2</v>
      </c>
      <c r="AF194">
        <v>5.1955477227785193E-2</v>
      </c>
      <c r="AG194" s="86">
        <f t="shared" si="45"/>
        <v>10</v>
      </c>
      <c r="AH194">
        <v>0.63194805311768065</v>
      </c>
      <c r="AI194">
        <v>0.73287600591601143</v>
      </c>
      <c r="AJ194">
        <v>0.79204821977108808</v>
      </c>
      <c r="AK194">
        <v>0.82542870164784454</v>
      </c>
      <c r="AL194">
        <v>0.83312875474612835</v>
      </c>
      <c r="AM194" s="10">
        <f t="shared" si="46"/>
        <v>7</v>
      </c>
      <c r="AN194">
        <v>4.5186398834086851E-2</v>
      </c>
      <c r="AO194">
        <v>5.062852212510012E-2</v>
      </c>
      <c r="AP194">
        <v>4.8341751538820713E-2</v>
      </c>
      <c r="AQ194">
        <v>4.7603510089092832E-2</v>
      </c>
      <c r="AR194">
        <v>5.3417870842519671E-2</v>
      </c>
      <c r="AS194" s="86">
        <f t="shared" si="47"/>
        <v>10</v>
      </c>
      <c r="AT194">
        <v>0.67645785984953977</v>
      </c>
      <c r="AU194">
        <v>0.69645956244342588</v>
      </c>
      <c r="AV194">
        <v>0.821790160911679</v>
      </c>
      <c r="AW194">
        <v>0.7808454857310394</v>
      </c>
      <c r="AX194">
        <v>0.8924187446534686</v>
      </c>
      <c r="AY194" s="10">
        <f t="shared" si="48"/>
        <v>7</v>
      </c>
      <c r="AZ194">
        <v>4.6577675836617552E-2</v>
      </c>
      <c r="BA194">
        <v>5.0314071696229548E-2</v>
      </c>
      <c r="BB194">
        <v>5.3503271849871997E-2</v>
      </c>
      <c r="BC194">
        <v>6.1865324749313312E-2</v>
      </c>
      <c r="BD194">
        <v>5.2707268254523328E-2</v>
      </c>
      <c r="BE194" s="86">
        <f t="shared" si="49"/>
        <v>10</v>
      </c>
      <c r="BF194">
        <v>0.53121204412063061</v>
      </c>
      <c r="BG194">
        <v>0.59083410758028543</v>
      </c>
      <c r="BH194">
        <v>0.69579706934544572</v>
      </c>
      <c r="BI194">
        <v>0.76527566985101447</v>
      </c>
      <c r="BJ194">
        <v>0.82515773984339702</v>
      </c>
      <c r="BK194" s="10">
        <f t="shared" si="50"/>
        <v>7</v>
      </c>
      <c r="BL194">
        <v>3.6111472713163353E-2</v>
      </c>
      <c r="BM194">
        <v>3.8445507135548729E-2</v>
      </c>
      <c r="BN194">
        <v>4.4419371954530371E-2</v>
      </c>
      <c r="BO194">
        <v>5.3592336243666917E-2</v>
      </c>
      <c r="BP194">
        <v>5.0148949348341743E-2</v>
      </c>
      <c r="BQ194" s="86">
        <f t="shared" si="51"/>
        <v>10</v>
      </c>
      <c r="BR194">
        <v>0.67439526143483941</v>
      </c>
      <c r="BS194">
        <v>0.59974012385608777</v>
      </c>
      <c r="BT194">
        <v>0.69777368567435194</v>
      </c>
      <c r="BU194">
        <v>0.78027252270722103</v>
      </c>
      <c r="BV194">
        <v>0.79948563998263211</v>
      </c>
      <c r="BW194" s="10">
        <f t="shared" si="52"/>
        <v>7</v>
      </c>
      <c r="BX194">
        <v>4.5128789604044282E-2</v>
      </c>
      <c r="BY194">
        <v>4.0050383985762612E-2</v>
      </c>
      <c r="BZ194">
        <v>4.5119626313679217E-2</v>
      </c>
      <c r="CA194">
        <v>4.2230009953097628E-2</v>
      </c>
      <c r="CB194">
        <v>4.4129261094965483E-2</v>
      </c>
      <c r="CC194" s="86">
        <f t="shared" si="53"/>
        <v>10</v>
      </c>
      <c r="CD194">
        <v>0.60169274373255932</v>
      </c>
      <c r="CE194">
        <v>0.52156505414633136</v>
      </c>
      <c r="CF194">
        <v>0.52348199877685464</v>
      </c>
      <c r="CG194">
        <v>0.74940298644708381</v>
      </c>
      <c r="CH194">
        <v>0.75263951635189674</v>
      </c>
      <c r="CI194" s="10">
        <f t="shared" si="54"/>
        <v>7</v>
      </c>
      <c r="CJ194">
        <v>4.1868690435854353E-2</v>
      </c>
      <c r="CK194">
        <v>3.7288719462329013E-2</v>
      </c>
      <c r="CL194">
        <v>3.638605166885462E-2</v>
      </c>
      <c r="CM194">
        <v>4.6162130278854192E-2</v>
      </c>
      <c r="CN194">
        <v>5.9701472747571808E-2</v>
      </c>
    </row>
    <row r="195" spans="21:92" x14ac:dyDescent="0.2">
      <c r="U195" s="86">
        <f t="shared" si="43"/>
        <v>11</v>
      </c>
      <c r="V195">
        <v>0.74014157592563234</v>
      </c>
      <c r="W195">
        <v>0.81410062057398969</v>
      </c>
      <c r="X195">
        <v>0.81277474692309726</v>
      </c>
      <c r="Y195">
        <v>0.83387740123137877</v>
      </c>
      <c r="Z195">
        <v>0.84973389616744566</v>
      </c>
      <c r="AA195" s="10">
        <f t="shared" si="44"/>
        <v>7.5</v>
      </c>
      <c r="AB195">
        <v>4.8665526211858989E-2</v>
      </c>
      <c r="AC195">
        <v>5.9579931743863973E-2</v>
      </c>
      <c r="AD195">
        <v>5.6179596347134243E-2</v>
      </c>
      <c r="AE195">
        <v>5.176497806784295E-2</v>
      </c>
      <c r="AF195">
        <v>4.5320227046317947E-2</v>
      </c>
      <c r="AG195" s="86">
        <f t="shared" si="45"/>
        <v>11</v>
      </c>
      <c r="AH195">
        <v>0.70020307155908812</v>
      </c>
      <c r="AI195">
        <v>0.79931369515201267</v>
      </c>
      <c r="AJ195">
        <v>0.83608456556073751</v>
      </c>
      <c r="AK195">
        <v>0.86798799931523796</v>
      </c>
      <c r="AL195">
        <v>0.87542098425393566</v>
      </c>
      <c r="AM195" s="10">
        <f t="shared" si="46"/>
        <v>7.5</v>
      </c>
      <c r="AN195">
        <v>4.1991991164072623E-2</v>
      </c>
      <c r="AO195">
        <v>4.733296164786828E-2</v>
      </c>
      <c r="AP195">
        <v>4.1345067635116972E-2</v>
      </c>
      <c r="AQ195">
        <v>4.4741000553048908E-2</v>
      </c>
      <c r="AR195">
        <v>4.3684434878534552E-2</v>
      </c>
      <c r="AS195" s="86">
        <f t="shared" si="47"/>
        <v>11</v>
      </c>
      <c r="AT195">
        <v>0.74193747280149647</v>
      </c>
      <c r="AU195">
        <v>0.7597932764016283</v>
      </c>
      <c r="AV195">
        <v>0.85078932814272412</v>
      </c>
      <c r="AW195">
        <v>0.8310181953788065</v>
      </c>
      <c r="AX195">
        <v>0.92212260507317745</v>
      </c>
      <c r="AY195" s="10">
        <f t="shared" si="48"/>
        <v>7.5</v>
      </c>
      <c r="AZ195">
        <v>4.4504992575264253E-2</v>
      </c>
      <c r="BA195">
        <v>4.8288089696734683E-2</v>
      </c>
      <c r="BB195">
        <v>4.9058317723075562E-2</v>
      </c>
      <c r="BC195">
        <v>5.9232939604526393E-2</v>
      </c>
      <c r="BD195">
        <v>5.1046770011805208E-2</v>
      </c>
      <c r="BE195" s="86">
        <f t="shared" si="49"/>
        <v>11</v>
      </c>
      <c r="BF195">
        <v>0.59553845300183406</v>
      </c>
      <c r="BG195">
        <v>0.66308986738304698</v>
      </c>
      <c r="BH195">
        <v>0.75961493364386812</v>
      </c>
      <c r="BI195">
        <v>0.81744123230000465</v>
      </c>
      <c r="BJ195">
        <v>0.88119548582655871</v>
      </c>
      <c r="BK195" s="10">
        <f t="shared" si="50"/>
        <v>7.5</v>
      </c>
      <c r="BL195">
        <v>3.3040085390711432E-2</v>
      </c>
      <c r="BM195">
        <v>3.7778724910982213E-2</v>
      </c>
      <c r="BN195">
        <v>4.0307195643162701E-2</v>
      </c>
      <c r="BO195">
        <v>5.2961890091187409E-2</v>
      </c>
      <c r="BP195">
        <v>5.4479142131617697E-2</v>
      </c>
      <c r="BQ195" s="86">
        <f t="shared" si="51"/>
        <v>11</v>
      </c>
      <c r="BR195">
        <v>0.72306008596190363</v>
      </c>
      <c r="BS195">
        <v>0.66129010354321949</v>
      </c>
      <c r="BT195">
        <v>0.74868171171288356</v>
      </c>
      <c r="BU195">
        <v>0.83489919995627804</v>
      </c>
      <c r="BV195">
        <v>0.85213512379353529</v>
      </c>
      <c r="BW195" s="10">
        <f t="shared" si="52"/>
        <v>7.5</v>
      </c>
      <c r="BX195">
        <v>4.0089193567499369E-2</v>
      </c>
      <c r="BY195">
        <v>3.718330963313856E-2</v>
      </c>
      <c r="BZ195">
        <v>4.0614588246986938E-2</v>
      </c>
      <c r="CA195">
        <v>3.6244407781630662E-2</v>
      </c>
      <c r="CB195">
        <v>4.191904708507798E-2</v>
      </c>
      <c r="CC195" s="86">
        <f t="shared" si="53"/>
        <v>11</v>
      </c>
      <c r="CD195">
        <v>0.65372285328936897</v>
      </c>
      <c r="CE195">
        <v>0.57047183412358737</v>
      </c>
      <c r="CF195">
        <v>0.5729346095377047</v>
      </c>
      <c r="CG195">
        <v>0.79992148460198864</v>
      </c>
      <c r="CH195">
        <v>0.80185905900302712</v>
      </c>
      <c r="CI195" s="10">
        <f t="shared" si="54"/>
        <v>7.5</v>
      </c>
      <c r="CJ195">
        <v>3.8305653958531492E-2</v>
      </c>
      <c r="CK195">
        <v>3.4921236588420328E-2</v>
      </c>
      <c r="CL195">
        <v>3.3512629221158198E-2</v>
      </c>
      <c r="CM195">
        <v>4.0971115365240722E-2</v>
      </c>
      <c r="CN195">
        <v>5.5466174856692411E-2</v>
      </c>
    </row>
    <row r="196" spans="21:92" x14ac:dyDescent="0.2">
      <c r="U196" s="86">
        <f t="shared" si="43"/>
        <v>12</v>
      </c>
      <c r="V196">
        <v>0.80161410571110903</v>
      </c>
      <c r="W196">
        <v>0.86010459560433805</v>
      </c>
      <c r="X196">
        <v>0.84949100451785198</v>
      </c>
      <c r="Y196">
        <v>0.87383628058272533</v>
      </c>
      <c r="Z196">
        <v>0.89593744648573936</v>
      </c>
      <c r="AA196" s="10">
        <f t="shared" si="44"/>
        <v>8</v>
      </c>
      <c r="AB196">
        <v>5.1268068797923061E-2</v>
      </c>
      <c r="AC196">
        <v>5.3294193526655452E-2</v>
      </c>
      <c r="AD196">
        <v>5.4175138803878552E-2</v>
      </c>
      <c r="AE196">
        <v>4.789059128558236E-2</v>
      </c>
      <c r="AF196">
        <v>3.9963972575382312E-2</v>
      </c>
      <c r="AG196" s="86">
        <f t="shared" si="45"/>
        <v>12</v>
      </c>
      <c r="AH196">
        <v>0.76658012433578693</v>
      </c>
      <c r="AI196">
        <v>0.85943045351520131</v>
      </c>
      <c r="AJ196">
        <v>0.87524431284782955</v>
      </c>
      <c r="AK196">
        <v>0.89402155123523819</v>
      </c>
      <c r="AL196">
        <v>0.90629589352760209</v>
      </c>
      <c r="AM196" s="10">
        <f t="shared" si="46"/>
        <v>8</v>
      </c>
      <c r="AN196">
        <v>3.9509602786653733E-2</v>
      </c>
      <c r="AO196">
        <v>4.4023526321309923E-2</v>
      </c>
      <c r="AP196">
        <v>3.7512132457432998E-2</v>
      </c>
      <c r="AQ196">
        <v>4.4085135714453168E-2</v>
      </c>
      <c r="AR196">
        <v>3.6709639278564909E-2</v>
      </c>
      <c r="AS196" s="86">
        <f t="shared" si="47"/>
        <v>12</v>
      </c>
      <c r="AT196">
        <v>0.80111084331206517</v>
      </c>
      <c r="AU196">
        <v>0.81470334404219757</v>
      </c>
      <c r="AV196">
        <v>0.874549101364412</v>
      </c>
      <c r="AW196">
        <v>0.87552405175591019</v>
      </c>
      <c r="AX196">
        <v>0.94413351151444425</v>
      </c>
      <c r="AY196" s="10">
        <f t="shared" si="48"/>
        <v>8</v>
      </c>
      <c r="AZ196">
        <v>4.2904074431772521E-2</v>
      </c>
      <c r="BA196">
        <v>4.6565368776914147E-2</v>
      </c>
      <c r="BB196">
        <v>4.522641512429925E-2</v>
      </c>
      <c r="BC196">
        <v>5.3810197077169622E-2</v>
      </c>
      <c r="BD196">
        <v>5.0708998126831543E-2</v>
      </c>
      <c r="BE196" s="86">
        <f t="shared" si="49"/>
        <v>12</v>
      </c>
      <c r="BF196">
        <v>0.66408252927882949</v>
      </c>
      <c r="BG196">
        <v>0.73348133260563653</v>
      </c>
      <c r="BH196">
        <v>0.82050220503333304</v>
      </c>
      <c r="BI196">
        <v>0.86421307905398714</v>
      </c>
      <c r="BJ196">
        <v>0.92221547390602332</v>
      </c>
      <c r="BK196" s="10">
        <f t="shared" si="50"/>
        <v>8</v>
      </c>
      <c r="BL196">
        <v>3.10276116019726E-2</v>
      </c>
      <c r="BM196">
        <v>3.7529478306276808E-2</v>
      </c>
      <c r="BN196">
        <v>3.7731819173238187E-2</v>
      </c>
      <c r="BO196">
        <v>5.084778231511361E-2</v>
      </c>
      <c r="BP196">
        <v>6.0049739336791551E-2</v>
      </c>
      <c r="BQ196" s="86">
        <f t="shared" si="51"/>
        <v>12</v>
      </c>
      <c r="BR196">
        <v>0.76766470268251963</v>
      </c>
      <c r="BS196">
        <v>0.71934021823940131</v>
      </c>
      <c r="BT196">
        <v>0.79721655979470152</v>
      </c>
      <c r="BU196">
        <v>0.87934100335199739</v>
      </c>
      <c r="BV196">
        <v>0.89162020028980615</v>
      </c>
      <c r="BW196" s="10">
        <f t="shared" si="52"/>
        <v>8</v>
      </c>
      <c r="BX196">
        <v>3.5859567393765522E-2</v>
      </c>
      <c r="BY196">
        <v>3.5547402096051998E-2</v>
      </c>
      <c r="BZ196">
        <v>3.7099926723915072E-2</v>
      </c>
      <c r="CA196">
        <v>3.4726454840083777E-2</v>
      </c>
      <c r="CB196">
        <v>4.2563456742662702E-2</v>
      </c>
      <c r="CC196" s="86">
        <f t="shared" si="53"/>
        <v>12</v>
      </c>
      <c r="CD196">
        <v>0.70058696563230072</v>
      </c>
      <c r="CE196">
        <v>0.61816189435139635</v>
      </c>
      <c r="CF196">
        <v>0.61795245387592379</v>
      </c>
      <c r="CG196">
        <v>0.84114866518490361</v>
      </c>
      <c r="CH196">
        <v>0.83564923074444719</v>
      </c>
      <c r="CI196" s="10">
        <f t="shared" si="54"/>
        <v>8</v>
      </c>
      <c r="CJ196">
        <v>3.5631819406354459E-2</v>
      </c>
      <c r="CK196">
        <v>3.282136000198075E-2</v>
      </c>
      <c r="CL196">
        <v>3.1808005458449543E-2</v>
      </c>
      <c r="CM196">
        <v>3.7663563604383353E-2</v>
      </c>
      <c r="CN196">
        <v>5.1514106344222828E-2</v>
      </c>
    </row>
    <row r="197" spans="21:92" x14ac:dyDescent="0.2">
      <c r="U197" s="86">
        <f t="shared" si="43"/>
        <v>13</v>
      </c>
      <c r="V197">
        <v>0.8528236292927095</v>
      </c>
      <c r="W197">
        <v>0.90021621708622568</v>
      </c>
      <c r="X197">
        <v>0.8845980254421304</v>
      </c>
      <c r="Y197">
        <v>0.90853824225338786</v>
      </c>
      <c r="Z197">
        <v>0.93277440547897295</v>
      </c>
      <c r="AA197" s="10">
        <f t="shared" si="44"/>
        <v>8.5</v>
      </c>
      <c r="AB197">
        <v>5.2720323324177712E-2</v>
      </c>
      <c r="AC197">
        <v>4.662819320291535E-2</v>
      </c>
      <c r="AD197">
        <v>5.0249485285902049E-2</v>
      </c>
      <c r="AE197">
        <v>4.4219128491518753E-2</v>
      </c>
      <c r="AF197">
        <v>3.6514137643102199E-2</v>
      </c>
      <c r="AG197" s="86">
        <f t="shared" si="45"/>
        <v>13</v>
      </c>
      <c r="AH197">
        <v>0.82649558753724106</v>
      </c>
      <c r="AI197">
        <v>0.9027387929092181</v>
      </c>
      <c r="AJ197">
        <v>0.9076877972986338</v>
      </c>
      <c r="AK197">
        <v>0.91546638366123734</v>
      </c>
      <c r="AL197">
        <v>0.92693610525278169</v>
      </c>
      <c r="AM197" s="10">
        <f t="shared" si="46"/>
        <v>8.5</v>
      </c>
      <c r="AN197">
        <v>3.7651347390561328E-2</v>
      </c>
      <c r="AO197">
        <v>4.1776739557249011E-2</v>
      </c>
      <c r="AP197">
        <v>3.4225497943953659E-2</v>
      </c>
      <c r="AQ197">
        <v>4.363887796029136E-2</v>
      </c>
      <c r="AR197">
        <v>3.1957575943793858E-2</v>
      </c>
      <c r="AS197" s="86">
        <f t="shared" si="47"/>
        <v>13</v>
      </c>
      <c r="AT197">
        <v>0.84922960061594388</v>
      </c>
      <c r="AU197">
        <v>0.86425382016988272</v>
      </c>
      <c r="AV197">
        <v>0.89808595854499662</v>
      </c>
      <c r="AW197">
        <v>0.91463193705560031</v>
      </c>
      <c r="AX197">
        <v>0.95708990575948538</v>
      </c>
      <c r="AY197" s="10">
        <f t="shared" si="48"/>
        <v>8.5</v>
      </c>
      <c r="AZ197">
        <v>4.1100896419347617E-2</v>
      </c>
      <c r="BA197">
        <v>4.4446917821252693E-2</v>
      </c>
      <c r="BB197">
        <v>4.0477978120232953E-2</v>
      </c>
      <c r="BC197">
        <v>4.7792052967589982E-2</v>
      </c>
      <c r="BD197">
        <v>4.6703429424930873E-2</v>
      </c>
      <c r="BE197" s="86">
        <f t="shared" si="49"/>
        <v>13</v>
      </c>
      <c r="BF197">
        <v>0.72911384010330504</v>
      </c>
      <c r="BG197">
        <v>0.79595750601547299</v>
      </c>
      <c r="BH197">
        <v>0.86949056290922588</v>
      </c>
      <c r="BI197">
        <v>0.90645177394282883</v>
      </c>
      <c r="BJ197">
        <v>0.94811278058729975</v>
      </c>
      <c r="BK197" s="10">
        <f t="shared" si="50"/>
        <v>8.5</v>
      </c>
      <c r="BL197">
        <v>2.9707231621021499E-2</v>
      </c>
      <c r="BM197">
        <v>3.7472786154307457E-2</v>
      </c>
      <c r="BN197">
        <v>3.578498707067454E-2</v>
      </c>
      <c r="BO197">
        <v>4.8331912374995921E-2</v>
      </c>
      <c r="BP197">
        <v>6.4203108814424495E-2</v>
      </c>
      <c r="BQ197" s="86">
        <f t="shared" si="51"/>
        <v>13</v>
      </c>
      <c r="BR197">
        <v>0.80954652678369032</v>
      </c>
      <c r="BS197">
        <v>0.76941509948112619</v>
      </c>
      <c r="BT197">
        <v>0.8413283168945439</v>
      </c>
      <c r="BU197">
        <v>0.91540490236288596</v>
      </c>
      <c r="BV197">
        <v>0.92347502389648217</v>
      </c>
      <c r="BW197" s="10">
        <f t="shared" si="52"/>
        <v>8.5</v>
      </c>
      <c r="BX197">
        <v>3.3187056274687772E-2</v>
      </c>
      <c r="BY197">
        <v>3.4488288895798629E-2</v>
      </c>
      <c r="BZ197">
        <v>3.4645053249238451E-2</v>
      </c>
      <c r="CA197">
        <v>3.4091448562515898E-2</v>
      </c>
      <c r="CB197">
        <v>4.2797924448361863E-2</v>
      </c>
      <c r="CC197" s="86">
        <f t="shared" si="53"/>
        <v>13</v>
      </c>
      <c r="CD197">
        <v>0.74206923740118802</v>
      </c>
      <c r="CE197">
        <v>0.66625439093699879</v>
      </c>
      <c r="CF197">
        <v>0.65834164239568338</v>
      </c>
      <c r="CG197">
        <v>0.87120923525502159</v>
      </c>
      <c r="CH197">
        <v>0.86268417318275059</v>
      </c>
      <c r="CI197" s="10">
        <f t="shared" si="54"/>
        <v>8.5</v>
      </c>
      <c r="CJ197">
        <v>3.3763663147937641E-2</v>
      </c>
      <c r="CK197">
        <v>3.1201990625649729E-2</v>
      </c>
      <c r="CL197">
        <v>3.034192086271708E-2</v>
      </c>
      <c r="CM197">
        <v>3.5835860524181078E-2</v>
      </c>
      <c r="CN197">
        <v>4.7102741486606231E-2</v>
      </c>
    </row>
    <row r="198" spans="21:92" x14ac:dyDescent="0.2">
      <c r="U198" s="86">
        <f t="shared" si="43"/>
        <v>14</v>
      </c>
      <c r="V198">
        <v>0.89508133847279248</v>
      </c>
      <c r="W198">
        <v>0.93265316776490359</v>
      </c>
      <c r="X198">
        <v>0.91449282144058497</v>
      </c>
      <c r="Y198">
        <v>0.93652429616489874</v>
      </c>
      <c r="Z198">
        <v>0.9594234974550877</v>
      </c>
      <c r="AA198" s="10">
        <f t="shared" si="44"/>
        <v>9</v>
      </c>
      <c r="AB198">
        <v>5.3325403140017082E-2</v>
      </c>
      <c r="AC198">
        <v>3.9968980146421147E-2</v>
      </c>
      <c r="AD198">
        <v>4.2711065076901263E-2</v>
      </c>
      <c r="AE198">
        <v>3.9608095000465977E-2</v>
      </c>
      <c r="AF198">
        <v>3.3579088187021683E-2</v>
      </c>
      <c r="AG198" s="86">
        <f t="shared" si="45"/>
        <v>14</v>
      </c>
      <c r="AH198">
        <v>0.87732072411555351</v>
      </c>
      <c r="AI198">
        <v>0.93131530425470277</v>
      </c>
      <c r="AJ198">
        <v>0.9322015521121253</v>
      </c>
      <c r="AK198">
        <v>0.933715984262251</v>
      </c>
      <c r="AL198">
        <v>0.94248158146224836</v>
      </c>
      <c r="AM198" s="10">
        <f t="shared" si="46"/>
        <v>9</v>
      </c>
      <c r="AN198">
        <v>3.6539440690379239E-2</v>
      </c>
      <c r="AO198">
        <v>3.9573768636801843E-2</v>
      </c>
      <c r="AP198">
        <v>3.1901846935396737E-2</v>
      </c>
      <c r="AQ198">
        <v>4.1984718183623607E-2</v>
      </c>
      <c r="AR198">
        <v>3.0106744982139139E-2</v>
      </c>
      <c r="AS198" s="86">
        <f t="shared" si="47"/>
        <v>14</v>
      </c>
      <c r="AT198">
        <v>0.88738706075846308</v>
      </c>
      <c r="AU198">
        <v>0.90600113907019109</v>
      </c>
      <c r="AV198">
        <v>0.92016936894517398</v>
      </c>
      <c r="AW198">
        <v>0.94605894289020165</v>
      </c>
      <c r="AX198">
        <v>0.9659096869445214</v>
      </c>
      <c r="AY198" s="10">
        <f t="shared" si="48"/>
        <v>9</v>
      </c>
      <c r="AZ198">
        <v>3.9733093521728477E-2</v>
      </c>
      <c r="BA198">
        <v>4.2560881797376507E-2</v>
      </c>
      <c r="BB198">
        <v>3.3695801536634727E-2</v>
      </c>
      <c r="BC198">
        <v>4.0905308077345687E-2</v>
      </c>
      <c r="BD198">
        <v>4.0346836010195543E-2</v>
      </c>
      <c r="BE198" s="86">
        <f t="shared" si="49"/>
        <v>14</v>
      </c>
      <c r="BF198">
        <v>0.78917198186664417</v>
      </c>
      <c r="BG198">
        <v>0.84930352683227217</v>
      </c>
      <c r="BH198">
        <v>0.90691297277167637</v>
      </c>
      <c r="BI198">
        <v>0.94005941761316669</v>
      </c>
      <c r="BJ198">
        <v>0.96285745596042949</v>
      </c>
      <c r="BK198" s="10">
        <f t="shared" si="50"/>
        <v>9</v>
      </c>
      <c r="BL198">
        <v>2.9336754572716169E-2</v>
      </c>
      <c r="BM198">
        <v>3.7511733694230769E-2</v>
      </c>
      <c r="BN198">
        <v>3.4897993961905308E-2</v>
      </c>
      <c r="BO198">
        <v>4.4227391272894372E-2</v>
      </c>
      <c r="BP198">
        <v>6.1103194051687168E-2</v>
      </c>
      <c r="BQ198" s="86">
        <f t="shared" si="51"/>
        <v>14</v>
      </c>
      <c r="BR198">
        <v>0.84974372362853123</v>
      </c>
      <c r="BS198">
        <v>0.81127039522497091</v>
      </c>
      <c r="BT198">
        <v>0.87967298462357757</v>
      </c>
      <c r="BU198">
        <v>0.94257509502255177</v>
      </c>
      <c r="BV198">
        <v>0.94724701537012568</v>
      </c>
      <c r="BW198" s="10">
        <f t="shared" si="52"/>
        <v>9</v>
      </c>
      <c r="BX198">
        <v>3.0711304045535841E-2</v>
      </c>
      <c r="BY198">
        <v>3.3994576588843847E-2</v>
      </c>
      <c r="BZ198">
        <v>3.2251583535876559E-2</v>
      </c>
      <c r="CA198">
        <v>3.4763975317399783E-2</v>
      </c>
      <c r="CB198">
        <v>4.2694508698220203E-2</v>
      </c>
      <c r="CC198" s="86">
        <f t="shared" si="53"/>
        <v>14</v>
      </c>
      <c r="CD198">
        <v>0.77815338026929359</v>
      </c>
      <c r="CE198">
        <v>0.71412277197356866</v>
      </c>
      <c r="CF198">
        <v>0.69535030657767427</v>
      </c>
      <c r="CG198">
        <v>0.89251119089925668</v>
      </c>
      <c r="CH198">
        <v>0.88904287790710557</v>
      </c>
      <c r="CI198" s="10">
        <f t="shared" si="54"/>
        <v>9</v>
      </c>
      <c r="CJ198">
        <v>3.2163116444909358E-2</v>
      </c>
      <c r="CK198">
        <v>2.9364389977006029E-2</v>
      </c>
      <c r="CL198">
        <v>2.9584844857514451E-2</v>
      </c>
      <c r="CM198">
        <v>3.382028524326209E-2</v>
      </c>
      <c r="CN198">
        <v>4.2499920496658981E-2</v>
      </c>
    </row>
    <row r="199" spans="21:92" x14ac:dyDescent="0.2">
      <c r="U199" s="86">
        <f t="shared" si="43"/>
        <v>15</v>
      </c>
      <c r="V199">
        <v>0.92978876604878669</v>
      </c>
      <c r="W199">
        <v>0.95601572805113244</v>
      </c>
      <c r="X199">
        <v>0.93646460653858499</v>
      </c>
      <c r="Y199">
        <v>0.95664610690742702</v>
      </c>
      <c r="Z199">
        <v>0.97510470692613793</v>
      </c>
      <c r="AA199" s="10">
        <f t="shared" si="44"/>
        <v>9.5</v>
      </c>
      <c r="AB199">
        <v>5.1015257083467921E-2</v>
      </c>
      <c r="AC199">
        <v>3.4754064682385587E-2</v>
      </c>
      <c r="AD199">
        <v>3.4374027865677628E-2</v>
      </c>
      <c r="AE199">
        <v>3.4552343914772528E-2</v>
      </c>
      <c r="AF199">
        <v>3.1512141462263429E-2</v>
      </c>
      <c r="AG199" s="86">
        <f t="shared" si="45"/>
        <v>15</v>
      </c>
      <c r="AH199">
        <v>0.91602692481174786</v>
      </c>
      <c r="AI199">
        <v>0.94724014689855462</v>
      </c>
      <c r="AJ199">
        <v>0.9474471344283979</v>
      </c>
      <c r="AK199">
        <v>0.94934028066180232</v>
      </c>
      <c r="AL199">
        <v>0.95648970364473762</v>
      </c>
      <c r="AM199" s="10">
        <f t="shared" si="46"/>
        <v>9.5</v>
      </c>
      <c r="AN199">
        <v>3.6122451306236633E-2</v>
      </c>
      <c r="AO199">
        <v>3.8056991346387521E-2</v>
      </c>
      <c r="AP199">
        <v>2.9330037709497429E-2</v>
      </c>
      <c r="AQ199">
        <v>3.8269359724373259E-2</v>
      </c>
      <c r="AR199">
        <v>2.8587630324160899E-2</v>
      </c>
      <c r="AS199" s="86">
        <f t="shared" si="47"/>
        <v>15</v>
      </c>
      <c r="AT199">
        <v>0.91689166777156028</v>
      </c>
      <c r="AU199">
        <v>0.93717838363370132</v>
      </c>
      <c r="AV199">
        <v>0.93920422013178784</v>
      </c>
      <c r="AW199">
        <v>0.96780263838525638</v>
      </c>
      <c r="AX199">
        <v>0.97294440920329783</v>
      </c>
      <c r="AY199" s="10">
        <f t="shared" si="48"/>
        <v>9.5</v>
      </c>
      <c r="AZ199">
        <v>3.8287030357767468E-2</v>
      </c>
      <c r="BA199">
        <v>4.0205663364091308E-2</v>
      </c>
      <c r="BB199">
        <v>2.7145411193961959E-2</v>
      </c>
      <c r="BC199">
        <v>3.5248301396090878E-2</v>
      </c>
      <c r="BD199">
        <v>3.2791699074194748E-2</v>
      </c>
      <c r="BE199" s="86">
        <f t="shared" si="49"/>
        <v>15</v>
      </c>
      <c r="BF199">
        <v>0.84164944868039682</v>
      </c>
      <c r="BG199">
        <v>0.89192818906675586</v>
      </c>
      <c r="BH199">
        <v>0.93316615491097288</v>
      </c>
      <c r="BI199">
        <v>0.96116066885411544</v>
      </c>
      <c r="BJ199">
        <v>0.97029979986432435</v>
      </c>
      <c r="BK199" s="10">
        <f t="shared" si="50"/>
        <v>9.5</v>
      </c>
      <c r="BL199">
        <v>2.9504365770758389E-2</v>
      </c>
      <c r="BM199">
        <v>3.7661767185988529E-2</v>
      </c>
      <c r="BN199">
        <v>3.4474473992830643E-2</v>
      </c>
      <c r="BO199">
        <v>3.8599810869921737E-2</v>
      </c>
      <c r="BP199">
        <v>5.3755791012399717E-2</v>
      </c>
      <c r="BQ199" s="86">
        <f t="shared" si="51"/>
        <v>15</v>
      </c>
      <c r="BR199">
        <v>0.88977974373033064</v>
      </c>
      <c r="BS199">
        <v>0.84481320714678765</v>
      </c>
      <c r="BT199">
        <v>0.9103481479898311</v>
      </c>
      <c r="BU199">
        <v>0.96026537938458223</v>
      </c>
      <c r="BV199">
        <v>0.96247193068756876</v>
      </c>
      <c r="BW199" s="10">
        <f t="shared" si="52"/>
        <v>9.5</v>
      </c>
      <c r="BX199">
        <v>2.908165680582521E-2</v>
      </c>
      <c r="BY199">
        <v>3.3553073159839228E-2</v>
      </c>
      <c r="BZ199">
        <v>3.0322913494167991E-2</v>
      </c>
      <c r="CA199">
        <v>3.4599430053745599E-2</v>
      </c>
      <c r="CB199">
        <v>3.9627906073794197E-2</v>
      </c>
      <c r="CC199" s="86">
        <f t="shared" si="53"/>
        <v>15</v>
      </c>
      <c r="CD199">
        <v>0.80991214725054639</v>
      </c>
      <c r="CE199">
        <v>0.76091240679253302</v>
      </c>
      <c r="CF199">
        <v>0.73229229893961711</v>
      </c>
      <c r="CG199">
        <v>0.90885963043468998</v>
      </c>
      <c r="CH199">
        <v>0.91693320214376062</v>
      </c>
      <c r="CI199" s="10">
        <f t="shared" si="54"/>
        <v>9.5</v>
      </c>
      <c r="CJ199">
        <v>3.1058191911771869E-2</v>
      </c>
      <c r="CK199">
        <v>2.795218812789815E-2</v>
      </c>
      <c r="CL199">
        <v>2.8820751285444521E-2</v>
      </c>
      <c r="CM199">
        <v>3.2618757848699109E-2</v>
      </c>
      <c r="CN199">
        <v>3.8055744772017841E-2</v>
      </c>
    </row>
    <row r="200" spans="21:92" x14ac:dyDescent="0.2">
      <c r="U200" s="86">
        <f t="shared" si="43"/>
        <v>16</v>
      </c>
      <c r="V200">
        <v>0.95686955617761937</v>
      </c>
      <c r="W200">
        <v>0.97114221052171446</v>
      </c>
      <c r="X200">
        <v>0.95338966966256111</v>
      </c>
      <c r="Y200">
        <v>0.97223853990535736</v>
      </c>
      <c r="Z200">
        <v>0.9848239894458275</v>
      </c>
      <c r="AA200" s="10">
        <f t="shared" si="44"/>
        <v>10</v>
      </c>
      <c r="AB200">
        <v>4.7562108100068431E-2</v>
      </c>
      <c r="AC200">
        <v>3.058719674925249E-2</v>
      </c>
      <c r="AD200">
        <v>2.6945976164441051E-2</v>
      </c>
      <c r="AE200">
        <v>2.9858604964822059E-2</v>
      </c>
      <c r="AF200">
        <v>2.9743579609289781E-2</v>
      </c>
      <c r="AG200" s="86">
        <f t="shared" si="45"/>
        <v>16</v>
      </c>
      <c r="AH200">
        <v>0.94502569898251709</v>
      </c>
      <c r="AI200">
        <v>0.95817351410137563</v>
      </c>
      <c r="AJ200">
        <v>0.95854666976702452</v>
      </c>
      <c r="AK200">
        <v>0.9596568885761787</v>
      </c>
      <c r="AL200">
        <v>0.96942803350082873</v>
      </c>
      <c r="AM200" s="10">
        <f t="shared" si="46"/>
        <v>10</v>
      </c>
      <c r="AN200">
        <v>3.5869324914536607E-2</v>
      </c>
      <c r="AO200">
        <v>3.6927741558289401E-2</v>
      </c>
      <c r="AP200">
        <v>2.6849596398476651E-2</v>
      </c>
      <c r="AQ200">
        <v>3.3218528489847923E-2</v>
      </c>
      <c r="AR200">
        <v>2.7141480909802451E-2</v>
      </c>
      <c r="AS200" s="86">
        <f t="shared" si="47"/>
        <v>16</v>
      </c>
      <c r="AT200">
        <v>0.94150666812372619</v>
      </c>
      <c r="AU200">
        <v>0.9593344196196173</v>
      </c>
      <c r="AV200">
        <v>0.95177552535971854</v>
      </c>
      <c r="AW200">
        <v>0.97965628382270431</v>
      </c>
      <c r="AX200">
        <v>0.97795542361646581</v>
      </c>
      <c r="AY200" s="10">
        <f t="shared" si="48"/>
        <v>10</v>
      </c>
      <c r="AZ200">
        <v>3.6919890972040223E-2</v>
      </c>
      <c r="BA200">
        <v>3.7623016384034487E-2</v>
      </c>
      <c r="BB200">
        <v>2.1265950611765141E-2</v>
      </c>
      <c r="BC200">
        <v>3.0717719943166411E-2</v>
      </c>
      <c r="BD200">
        <v>2.514615609451544E-2</v>
      </c>
      <c r="BE200" s="86">
        <f t="shared" si="49"/>
        <v>16</v>
      </c>
      <c r="BF200">
        <v>0.88653769981607489</v>
      </c>
      <c r="BG200">
        <v>0.92486370620216396</v>
      </c>
      <c r="BH200">
        <v>0.95266028395614477</v>
      </c>
      <c r="BI200">
        <v>0.97574422323042076</v>
      </c>
      <c r="BJ200">
        <v>0.97485515671555789</v>
      </c>
      <c r="BK200" s="10">
        <f t="shared" si="50"/>
        <v>10</v>
      </c>
      <c r="BL200">
        <v>3.0766703275473609E-2</v>
      </c>
      <c r="BM200">
        <v>3.7763362336453513E-2</v>
      </c>
      <c r="BN200">
        <v>3.4227331360495383E-2</v>
      </c>
      <c r="BO200">
        <v>3.3338628212760603E-2</v>
      </c>
      <c r="BP200">
        <v>4.3402832123673393E-2</v>
      </c>
      <c r="BQ200" s="86">
        <f t="shared" si="51"/>
        <v>16</v>
      </c>
      <c r="BR200">
        <v>0.92550145221835101</v>
      </c>
      <c r="BS200">
        <v>0.87310212219653216</v>
      </c>
      <c r="BT200">
        <v>0.93389610999401151</v>
      </c>
      <c r="BU200">
        <v>0.97222191952436565</v>
      </c>
      <c r="BV200">
        <v>0.97428333144764812</v>
      </c>
      <c r="BW200" s="10">
        <f t="shared" si="52"/>
        <v>10</v>
      </c>
      <c r="BX200">
        <v>2.7707190496823741E-2</v>
      </c>
      <c r="BY200">
        <v>3.3325492205428617E-2</v>
      </c>
      <c r="BZ200">
        <v>2.868491062066672E-2</v>
      </c>
      <c r="CA200">
        <v>3.3388504726903911E-2</v>
      </c>
      <c r="CB200">
        <v>3.5716699346676949E-2</v>
      </c>
      <c r="CC200" s="86">
        <f t="shared" si="53"/>
        <v>16</v>
      </c>
      <c r="CD200">
        <v>0.83925370473926686</v>
      </c>
      <c r="CE200">
        <v>0.80621704605271849</v>
      </c>
      <c r="CF200">
        <v>0.77209893958686204</v>
      </c>
      <c r="CG200">
        <v>0.92493829360111046</v>
      </c>
      <c r="CH200">
        <v>0.93471797951540248</v>
      </c>
      <c r="CI200" s="10">
        <f t="shared" si="54"/>
        <v>10</v>
      </c>
      <c r="CJ200">
        <v>2.9588437220608849E-2</v>
      </c>
      <c r="CK200">
        <v>2.6427614917256051E-2</v>
      </c>
      <c r="CL200">
        <v>2.809629587543741E-2</v>
      </c>
      <c r="CM200">
        <v>3.0978708570893559E-2</v>
      </c>
      <c r="CN200">
        <v>3.3741785144355212E-2</v>
      </c>
    </row>
    <row r="201" spans="21:92" x14ac:dyDescent="0.2">
      <c r="U201" s="86">
        <f t="shared" si="43"/>
        <v>17</v>
      </c>
      <c r="V201">
        <v>0.97621648884537893</v>
      </c>
      <c r="W201">
        <v>0.98165055102496612</v>
      </c>
      <c r="X201">
        <v>0.9675689375834593</v>
      </c>
      <c r="Y201">
        <v>0.98331587753554195</v>
      </c>
      <c r="Z201">
        <v>0.99037280706951436</v>
      </c>
      <c r="AA201" s="10">
        <f t="shared" si="44"/>
        <v>10.5</v>
      </c>
      <c r="AB201">
        <v>4.3173531181199702E-2</v>
      </c>
      <c r="AC201">
        <v>2.7693032336854381E-2</v>
      </c>
      <c r="AD201">
        <v>2.1426291048822741E-2</v>
      </c>
      <c r="AE201">
        <v>2.5718558766615999E-2</v>
      </c>
      <c r="AF201">
        <v>2.8273400908703849E-2</v>
      </c>
      <c r="AG201" s="86">
        <f t="shared" si="45"/>
        <v>17</v>
      </c>
      <c r="AH201">
        <v>0.96595203929727702</v>
      </c>
      <c r="AI201">
        <v>0.96684055074313979</v>
      </c>
      <c r="AJ201">
        <v>0.96777358368624899</v>
      </c>
      <c r="AK201">
        <v>0.96654921121507975</v>
      </c>
      <c r="AL201">
        <v>0.98135021472769957</v>
      </c>
      <c r="AM201" s="10">
        <f t="shared" si="46"/>
        <v>10.5</v>
      </c>
      <c r="AN201">
        <v>3.5711738357197757E-2</v>
      </c>
      <c r="AO201">
        <v>3.6186981290272632E-2</v>
      </c>
      <c r="AP201">
        <v>2.447869405446855E-2</v>
      </c>
      <c r="AQ201">
        <v>2.694645848967608E-2</v>
      </c>
      <c r="AR201">
        <v>2.512987387375969E-2</v>
      </c>
      <c r="AS201" s="86">
        <f t="shared" si="47"/>
        <v>17</v>
      </c>
      <c r="AT201">
        <v>0.96143882356738131</v>
      </c>
      <c r="AU201">
        <v>0.97426846408505152</v>
      </c>
      <c r="AV201">
        <v>0.95949187059600372</v>
      </c>
      <c r="AW201">
        <v>0.98558160522830063</v>
      </c>
      <c r="AX201">
        <v>0.98240032928386556</v>
      </c>
      <c r="AY201" s="10">
        <f t="shared" si="48"/>
        <v>10.5</v>
      </c>
      <c r="AZ201">
        <v>3.5594784681127867E-2</v>
      </c>
      <c r="BA201">
        <v>3.4894619434291167E-2</v>
      </c>
      <c r="BB201">
        <v>1.716283281124165E-2</v>
      </c>
      <c r="BC201">
        <v>2.7603095714275831E-2</v>
      </c>
      <c r="BD201">
        <v>1.9362132378601481E-2</v>
      </c>
      <c r="BE201" s="86">
        <f t="shared" si="49"/>
        <v>17</v>
      </c>
      <c r="BF201">
        <v>0.9239472877161673</v>
      </c>
      <c r="BG201">
        <v>0.94915940672139676</v>
      </c>
      <c r="BH201">
        <v>0.96671947699442873</v>
      </c>
      <c r="BI201">
        <v>0.98528559591255205</v>
      </c>
      <c r="BJ201">
        <v>0.98025602215634056</v>
      </c>
      <c r="BK201" s="10">
        <f t="shared" si="50"/>
        <v>10.5</v>
      </c>
      <c r="BL201">
        <v>3.2138147396806448E-2</v>
      </c>
      <c r="BM201">
        <v>3.7812340350638907E-2</v>
      </c>
      <c r="BN201">
        <v>3.4069173784241617E-2</v>
      </c>
      <c r="BO201">
        <v>2.853447621714493E-2</v>
      </c>
      <c r="BP201">
        <v>3.4445921718724591E-2</v>
      </c>
      <c r="BQ201" s="86">
        <f t="shared" si="51"/>
        <v>17</v>
      </c>
      <c r="BR201">
        <v>0.95499539157536084</v>
      </c>
      <c r="BS201">
        <v>0.89912645138990621</v>
      </c>
      <c r="BT201">
        <v>0.95145820183917507</v>
      </c>
      <c r="BU201">
        <v>0.98053499045248571</v>
      </c>
      <c r="BV201">
        <v>0.98345719051494118</v>
      </c>
      <c r="BW201" s="10">
        <f t="shared" si="52"/>
        <v>10.5</v>
      </c>
      <c r="BX201">
        <v>2.644156762175888E-2</v>
      </c>
      <c r="BY201">
        <v>3.2977267162748868E-2</v>
      </c>
      <c r="BZ201">
        <v>2.7267487201893328E-2</v>
      </c>
      <c r="CA201">
        <v>3.1411419048502469E-2</v>
      </c>
      <c r="CB201">
        <v>3.102976444357184E-2</v>
      </c>
      <c r="CC201" s="86">
        <f t="shared" si="53"/>
        <v>17</v>
      </c>
      <c r="CD201">
        <v>0.87034921351313521</v>
      </c>
      <c r="CE201">
        <v>0.85192646317083875</v>
      </c>
      <c r="CF201">
        <v>0.81833330674707572</v>
      </c>
      <c r="CG201">
        <v>0.94221145014349617</v>
      </c>
      <c r="CH201">
        <v>0.94639463458914808</v>
      </c>
      <c r="CI201" s="10">
        <f t="shared" si="54"/>
        <v>10.5</v>
      </c>
      <c r="CJ201">
        <v>2.847051765243061E-2</v>
      </c>
      <c r="CK201">
        <v>2.5541905643971151E-2</v>
      </c>
      <c r="CL201">
        <v>2.7017891159222349E-2</v>
      </c>
      <c r="CM201">
        <v>2.9148728564864931E-2</v>
      </c>
      <c r="CN201">
        <v>2.9586578839257392E-2</v>
      </c>
    </row>
    <row r="202" spans="21:92" x14ac:dyDescent="0.2">
      <c r="U202" s="86">
        <f t="shared" si="43"/>
        <v>18</v>
      </c>
      <c r="V202">
        <v>0.98770175611637412</v>
      </c>
      <c r="W202">
        <v>0.98968681532629454</v>
      </c>
      <c r="X202">
        <v>0.98034731003243303</v>
      </c>
      <c r="Y202">
        <v>0.99014402330744034</v>
      </c>
      <c r="Z202">
        <v>0.99351005723972408</v>
      </c>
      <c r="AA202" s="10">
        <f t="shared" si="44"/>
        <v>11</v>
      </c>
      <c r="AB202">
        <v>3.8782923408132573E-2</v>
      </c>
      <c r="AC202">
        <v>2.6089553634350209E-2</v>
      </c>
      <c r="AD202">
        <v>1.93936263582501E-2</v>
      </c>
      <c r="AE202">
        <v>2.3339848923689361E-2</v>
      </c>
      <c r="AF202">
        <v>2.7018921371536681E-2</v>
      </c>
      <c r="AG202" s="86">
        <f t="shared" si="45"/>
        <v>18</v>
      </c>
      <c r="AH202">
        <v>0.98111617648638816</v>
      </c>
      <c r="AI202">
        <v>0.97608057372156853</v>
      </c>
      <c r="AJ202">
        <v>0.97782975816566331</v>
      </c>
      <c r="AK202">
        <v>0.97285608390982015</v>
      </c>
      <c r="AL202">
        <v>0.99093972078780534</v>
      </c>
      <c r="AM202" s="10">
        <f t="shared" si="46"/>
        <v>11</v>
      </c>
      <c r="AN202">
        <v>3.5409683769255622E-2</v>
      </c>
      <c r="AO202">
        <v>3.5282509296255808E-2</v>
      </c>
      <c r="AP202">
        <v>2.2915232378551541E-2</v>
      </c>
      <c r="AQ202">
        <v>2.140922599572203E-2</v>
      </c>
      <c r="AR202">
        <v>2.252568564908506E-2</v>
      </c>
      <c r="AS202" s="86">
        <f t="shared" si="47"/>
        <v>18</v>
      </c>
      <c r="AT202">
        <v>0.9769383623942598</v>
      </c>
      <c r="AU202">
        <v>0.98452948304856114</v>
      </c>
      <c r="AV202">
        <v>0.9665859395087627</v>
      </c>
      <c r="AW202">
        <v>0.98890924301299121</v>
      </c>
      <c r="AX202">
        <v>0.98636811614802189</v>
      </c>
      <c r="AY202" s="10">
        <f t="shared" si="48"/>
        <v>11</v>
      </c>
      <c r="AZ202">
        <v>3.4234523725705533E-2</v>
      </c>
      <c r="BA202">
        <v>3.2321705672941022E-2</v>
      </c>
      <c r="BB202">
        <v>1.483325906602498E-2</v>
      </c>
      <c r="BC202">
        <v>2.5857398503419431E-2</v>
      </c>
      <c r="BD202">
        <v>1.5610632982187121E-2</v>
      </c>
      <c r="BE202" s="86">
        <f t="shared" si="49"/>
        <v>18</v>
      </c>
      <c r="BF202">
        <v>0.9552432719004712</v>
      </c>
      <c r="BG202">
        <v>0.96805599216698013</v>
      </c>
      <c r="BH202">
        <v>0.97759258948378236</v>
      </c>
      <c r="BI202">
        <v>0.99119522514540903</v>
      </c>
      <c r="BJ202">
        <v>0.98690913862172103</v>
      </c>
      <c r="BK202" s="10">
        <f t="shared" si="50"/>
        <v>11</v>
      </c>
      <c r="BL202">
        <v>3.3602387319008407E-2</v>
      </c>
      <c r="BM202">
        <v>3.7654890679354812E-2</v>
      </c>
      <c r="BN202">
        <v>3.3763408540098287E-2</v>
      </c>
      <c r="BO202">
        <v>2.6106972559408179E-2</v>
      </c>
      <c r="BP202">
        <v>2.8783420720535829E-2</v>
      </c>
      <c r="BQ202" s="86">
        <f t="shared" si="51"/>
        <v>18</v>
      </c>
      <c r="BR202">
        <v>0.97509058200947485</v>
      </c>
      <c r="BS202">
        <v>0.92863737815139058</v>
      </c>
      <c r="BT202">
        <v>0.96715777307090578</v>
      </c>
      <c r="BU202">
        <v>0.98790915600709273</v>
      </c>
      <c r="BV202">
        <v>0.99075966100241186</v>
      </c>
      <c r="BW202" s="10">
        <f t="shared" si="52"/>
        <v>11</v>
      </c>
      <c r="BX202">
        <v>2.534113197341142E-2</v>
      </c>
      <c r="BY202">
        <v>3.2365161128333771E-2</v>
      </c>
      <c r="BZ202">
        <v>2.6465187262216892E-2</v>
      </c>
      <c r="CA202">
        <v>2.8608541524014292E-2</v>
      </c>
      <c r="CB202">
        <v>2.6868229415311119E-2</v>
      </c>
      <c r="CC202" s="86">
        <f t="shared" si="53"/>
        <v>18</v>
      </c>
      <c r="CD202">
        <v>0.90754235782371107</v>
      </c>
      <c r="CE202">
        <v>0.89899945491241351</v>
      </c>
      <c r="CF202">
        <v>0.87266763559904648</v>
      </c>
      <c r="CG202">
        <v>0.9606451934549407</v>
      </c>
      <c r="CH202">
        <v>0.95703971430775259</v>
      </c>
      <c r="CI202" s="10">
        <f t="shared" si="54"/>
        <v>11</v>
      </c>
      <c r="CJ202">
        <v>2.719290567087608E-2</v>
      </c>
      <c r="CK202">
        <v>2.4934904817621509E-2</v>
      </c>
      <c r="CL202">
        <v>2.6036672765988061E-2</v>
      </c>
      <c r="CM202">
        <v>2.6957775624796461E-2</v>
      </c>
      <c r="CN202">
        <v>2.5453329012319441E-2</v>
      </c>
    </row>
    <row r="203" spans="21:92" x14ac:dyDescent="0.2">
      <c r="U203" s="86">
        <f t="shared" si="43"/>
        <v>19</v>
      </c>
      <c r="V203">
        <v>0.99528474776690579</v>
      </c>
      <c r="W203">
        <v>0.99562861363137056</v>
      </c>
      <c r="X203">
        <v>0.99187567545170385</v>
      </c>
      <c r="Y203">
        <v>0.99537836479872455</v>
      </c>
      <c r="Z203">
        <v>0.99684750238926956</v>
      </c>
      <c r="AA203" s="10">
        <f t="shared" si="44"/>
        <v>11.5</v>
      </c>
      <c r="AB203">
        <v>3.4913833471969351E-2</v>
      </c>
      <c r="AC203">
        <v>2.4816451893871199E-2</v>
      </c>
      <c r="AD203">
        <v>1.865716993259588E-2</v>
      </c>
      <c r="AE203">
        <v>2.1715569256072442E-2</v>
      </c>
      <c r="AF203">
        <v>2.5661385080978191E-2</v>
      </c>
      <c r="AG203" s="86">
        <f t="shared" si="45"/>
        <v>19</v>
      </c>
      <c r="AH203">
        <v>0.99200480678325198</v>
      </c>
      <c r="AI203">
        <v>0.98760094047908886</v>
      </c>
      <c r="AJ203">
        <v>0.98916369773189672</v>
      </c>
      <c r="AK203">
        <v>0.98554380490092486</v>
      </c>
      <c r="AL203">
        <v>0.99616499331045882</v>
      </c>
      <c r="AM203" s="10">
        <f t="shared" si="46"/>
        <v>11.5</v>
      </c>
      <c r="AN203">
        <v>3.491234835671303E-2</v>
      </c>
      <c r="AO203">
        <v>3.3639959072615279E-2</v>
      </c>
      <c r="AP203">
        <v>2.1643876067416461E-2</v>
      </c>
      <c r="AQ203">
        <v>1.6915854345700532E-2</v>
      </c>
      <c r="AR203">
        <v>1.9565297305967341E-2</v>
      </c>
      <c r="AS203" s="86">
        <f t="shared" si="47"/>
        <v>19</v>
      </c>
      <c r="AT203">
        <v>0.98925093557133925</v>
      </c>
      <c r="AU203">
        <v>0.99277710761409976</v>
      </c>
      <c r="AV203">
        <v>0.98141540194686872</v>
      </c>
      <c r="AW203">
        <v>0.99420764025165087</v>
      </c>
      <c r="AX203">
        <v>0.99126515597411746</v>
      </c>
      <c r="AY203" s="10">
        <f t="shared" si="48"/>
        <v>11.5</v>
      </c>
      <c r="AZ203">
        <v>3.2575823282247479E-2</v>
      </c>
      <c r="BA203">
        <v>3.016885523614771E-2</v>
      </c>
      <c r="BB203">
        <v>1.3350994240115949E-2</v>
      </c>
      <c r="BC203">
        <v>2.4375895704761719E-2</v>
      </c>
      <c r="BD203">
        <v>1.3311159592012871E-2</v>
      </c>
      <c r="BE203" s="86">
        <f t="shared" si="49"/>
        <v>19</v>
      </c>
      <c r="BF203">
        <v>0.98041666696915308</v>
      </c>
      <c r="BG203">
        <v>0.98445936723926619</v>
      </c>
      <c r="BH203">
        <v>0.9886038975780308</v>
      </c>
      <c r="BI203">
        <v>0.99587048191030081</v>
      </c>
      <c r="BJ203">
        <v>0.9943285483238351</v>
      </c>
      <c r="BK203" s="10">
        <f t="shared" si="50"/>
        <v>11.5</v>
      </c>
      <c r="BL203">
        <v>3.4581328608460332E-2</v>
      </c>
      <c r="BM203">
        <v>3.7130452727398823E-2</v>
      </c>
      <c r="BN203">
        <v>3.2959596670578059E-2</v>
      </c>
      <c r="BO203">
        <v>2.4691382210532999E-2</v>
      </c>
      <c r="BP203">
        <v>2.4699584908071191E-2</v>
      </c>
      <c r="BQ203" s="86">
        <f t="shared" si="51"/>
        <v>19</v>
      </c>
      <c r="BR203">
        <v>0.98930751886762036</v>
      </c>
      <c r="BS203">
        <v>0.9627671443912732</v>
      </c>
      <c r="BT203">
        <v>0.98296246914963892</v>
      </c>
      <c r="BU203">
        <v>0.99455992991567288</v>
      </c>
      <c r="BV203">
        <v>0.99620345238547581</v>
      </c>
      <c r="BW203" s="10">
        <f t="shared" si="52"/>
        <v>11.5</v>
      </c>
      <c r="BX203">
        <v>2.4289768998255419E-2</v>
      </c>
      <c r="BY203">
        <v>3.1366533907818468E-2</v>
      </c>
      <c r="BZ203">
        <v>2.587444163126195E-2</v>
      </c>
      <c r="CA203">
        <v>2.5937216714145211E-2</v>
      </c>
      <c r="CB203">
        <v>2.342805923138443E-2</v>
      </c>
      <c r="CC203" s="86">
        <f t="shared" si="53"/>
        <v>19</v>
      </c>
      <c r="CD203">
        <v>0.95302243729634661</v>
      </c>
      <c r="CE203">
        <v>0.9493810788981708</v>
      </c>
      <c r="CF203">
        <v>0.93582585632514637</v>
      </c>
      <c r="CG203">
        <v>0.9801128614739284</v>
      </c>
      <c r="CH203">
        <v>0.97690279399879765</v>
      </c>
      <c r="CI203" s="10">
        <f t="shared" si="54"/>
        <v>11.5</v>
      </c>
      <c r="CJ203">
        <v>2.581623849996648E-2</v>
      </c>
      <c r="CK203">
        <v>2.475465750767683E-2</v>
      </c>
      <c r="CL203">
        <v>2.4783875428129199E-2</v>
      </c>
      <c r="CM203">
        <v>2.444969408773575E-2</v>
      </c>
      <c r="CN203">
        <v>2.1427900964090859E-2</v>
      </c>
    </row>
    <row r="204" spans="21:92" x14ac:dyDescent="0.2">
      <c r="U204" s="86">
        <f t="shared" si="43"/>
        <v>20</v>
      </c>
      <c r="V204">
        <v>0.99999999999999989</v>
      </c>
      <c r="W204">
        <v>1</v>
      </c>
      <c r="X204">
        <v>0.99999999999999989</v>
      </c>
      <c r="Y204">
        <v>0.99999999999999989</v>
      </c>
      <c r="Z204">
        <v>1</v>
      </c>
      <c r="AA204" s="10">
        <f t="shared" si="44"/>
        <v>12</v>
      </c>
      <c r="AB204">
        <v>3.1532645006101312E-2</v>
      </c>
      <c r="AC204">
        <v>2.3784326449982251E-2</v>
      </c>
      <c r="AD204">
        <v>1.9056534495915441E-2</v>
      </c>
      <c r="AE204">
        <v>2.0823087241517761E-2</v>
      </c>
      <c r="AF204">
        <v>2.4198149601955189E-2</v>
      </c>
      <c r="AG204" s="86">
        <f t="shared" si="45"/>
        <v>20</v>
      </c>
      <c r="AH204">
        <v>0.99999999999999989</v>
      </c>
      <c r="AI204">
        <v>1</v>
      </c>
      <c r="AJ204">
        <v>1</v>
      </c>
      <c r="AK204">
        <v>0.99999999999999989</v>
      </c>
      <c r="AL204">
        <v>1</v>
      </c>
      <c r="AM204" s="10">
        <f t="shared" si="46"/>
        <v>12</v>
      </c>
      <c r="AN204">
        <v>3.4245515364761808E-2</v>
      </c>
      <c r="AO204">
        <v>3.1257998724911883E-2</v>
      </c>
      <c r="AP204">
        <v>2.063735001028948E-2</v>
      </c>
      <c r="AQ204">
        <v>1.365666667318893E-2</v>
      </c>
      <c r="AR204">
        <v>1.6291251598846999E-2</v>
      </c>
      <c r="AS204" s="86">
        <f t="shared" si="47"/>
        <v>20</v>
      </c>
      <c r="AT204">
        <v>1</v>
      </c>
      <c r="AU204">
        <v>0.99999999999999989</v>
      </c>
      <c r="AV204">
        <v>1</v>
      </c>
      <c r="AW204">
        <v>1</v>
      </c>
      <c r="AX204">
        <v>1</v>
      </c>
      <c r="AY204" s="10">
        <f t="shared" si="48"/>
        <v>12</v>
      </c>
      <c r="AZ204">
        <v>3.0667751315923059E-2</v>
      </c>
      <c r="BA204">
        <v>2.8386978087389662E-2</v>
      </c>
      <c r="BB204">
        <v>1.2534829858569621E-2</v>
      </c>
      <c r="BC204">
        <v>2.30808341452351E-2</v>
      </c>
      <c r="BD204">
        <v>1.189720036217853E-2</v>
      </c>
      <c r="BE204" s="86">
        <f t="shared" si="49"/>
        <v>20</v>
      </c>
      <c r="BF204">
        <v>1</v>
      </c>
      <c r="BG204">
        <v>1</v>
      </c>
      <c r="BH204">
        <v>1</v>
      </c>
      <c r="BI204">
        <v>1</v>
      </c>
      <c r="BJ204">
        <v>1</v>
      </c>
      <c r="BK204" s="10">
        <f t="shared" si="50"/>
        <v>12</v>
      </c>
      <c r="BL204">
        <v>3.528846538246929E-2</v>
      </c>
      <c r="BM204">
        <v>3.6325824987309643E-2</v>
      </c>
      <c r="BN204">
        <v>3.1737776577717272E-2</v>
      </c>
      <c r="BO204">
        <v>2.4280855265280132E-2</v>
      </c>
      <c r="BP204">
        <v>2.1426864657643398E-2</v>
      </c>
      <c r="BQ204" s="86">
        <f t="shared" si="51"/>
        <v>20</v>
      </c>
      <c r="BR204">
        <v>0.99999999999999989</v>
      </c>
      <c r="BS204">
        <v>1</v>
      </c>
      <c r="BT204">
        <v>1</v>
      </c>
      <c r="BU204">
        <v>1</v>
      </c>
      <c r="BV204">
        <v>1</v>
      </c>
      <c r="BW204" s="10">
        <f t="shared" si="52"/>
        <v>12</v>
      </c>
      <c r="BX204">
        <v>2.3271846918710062E-2</v>
      </c>
      <c r="BY204">
        <v>3.0160265298392441E-2</v>
      </c>
      <c r="BZ204">
        <v>2.5433152691550689E-2</v>
      </c>
      <c r="CA204">
        <v>2.3381645782781652E-2</v>
      </c>
      <c r="CB204">
        <v>2.0691128592177439E-2</v>
      </c>
      <c r="CC204" s="86">
        <f t="shared" si="53"/>
        <v>20</v>
      </c>
      <c r="CD204">
        <v>1</v>
      </c>
      <c r="CE204">
        <v>1</v>
      </c>
      <c r="CF204">
        <v>0.99999999999999989</v>
      </c>
      <c r="CG204">
        <v>1</v>
      </c>
      <c r="CH204">
        <v>1</v>
      </c>
      <c r="CI204" s="10">
        <f t="shared" si="54"/>
        <v>12</v>
      </c>
      <c r="CJ204">
        <v>2.440373974961994E-2</v>
      </c>
      <c r="CK204">
        <v>2.4730702245973079E-2</v>
      </c>
      <c r="CL204">
        <v>2.3454555081407268E-2</v>
      </c>
      <c r="CM204">
        <v>2.1740922750577641E-2</v>
      </c>
      <c r="CN204">
        <v>1.7545373954781649E-2</v>
      </c>
    </row>
    <row r="205" spans="21:92" x14ac:dyDescent="0.2">
      <c r="U205" s="86">
        <f t="shared" si="43"/>
        <v>21</v>
      </c>
      <c r="AA205" s="10">
        <f t="shared" si="44"/>
        <v>12.5</v>
      </c>
      <c r="AB205">
        <v>2.8778571292649109E-2</v>
      </c>
      <c r="AC205">
        <v>2.246583041365641E-2</v>
      </c>
      <c r="AD205">
        <v>1.9292392732057888E-2</v>
      </c>
      <c r="AE205">
        <v>1.9901894054908439E-2</v>
      </c>
      <c r="AF205">
        <v>2.2116763857347621E-2</v>
      </c>
      <c r="AG205" s="86">
        <f t="shared" si="45"/>
        <v>21</v>
      </c>
      <c r="AM205" s="10">
        <f t="shared" si="46"/>
        <v>12.5</v>
      </c>
      <c r="AN205">
        <v>3.3005239959180283E-2</v>
      </c>
      <c r="AO205">
        <v>2.7161831291886099E-2</v>
      </c>
      <c r="AP205">
        <v>1.9276812067963299E-2</v>
      </c>
      <c r="AQ205">
        <v>1.2078297726542271E-2</v>
      </c>
      <c r="AR205">
        <v>1.304786802144174E-2</v>
      </c>
      <c r="AS205" s="86">
        <f t="shared" si="47"/>
        <v>21</v>
      </c>
      <c r="AY205" s="10">
        <f t="shared" si="48"/>
        <v>12.5</v>
      </c>
      <c r="AZ205">
        <v>2.7966217879899891E-2</v>
      </c>
      <c r="BA205">
        <v>2.7197401397876259E-2</v>
      </c>
      <c r="BB205">
        <v>1.228780356632633E-2</v>
      </c>
      <c r="BC205">
        <v>2.1775542761983159E-2</v>
      </c>
      <c r="BD205">
        <v>9.3714271050950333E-3</v>
      </c>
      <c r="BE205" s="86">
        <f t="shared" si="49"/>
        <v>21</v>
      </c>
      <c r="BK205" s="10">
        <f t="shared" si="50"/>
        <v>12.5</v>
      </c>
      <c r="BL205">
        <v>3.4855222189567131E-2</v>
      </c>
      <c r="BM205">
        <v>3.4639842799778532E-2</v>
      </c>
      <c r="BN205">
        <v>2.909816100737905E-2</v>
      </c>
      <c r="BO205">
        <v>2.3896153407186579E-2</v>
      </c>
      <c r="BP205">
        <v>1.7497812018851672E-2</v>
      </c>
      <c r="BQ205" s="86">
        <f t="shared" si="51"/>
        <v>21</v>
      </c>
      <c r="BW205" s="10">
        <f t="shared" si="52"/>
        <v>12.5</v>
      </c>
      <c r="BX205">
        <v>2.237216076771727E-2</v>
      </c>
      <c r="BY205">
        <v>2.830733940841719E-2</v>
      </c>
      <c r="BZ205">
        <v>2.4616003320626419E-2</v>
      </c>
      <c r="CA205">
        <v>2.1237803829844221E-2</v>
      </c>
      <c r="CB205">
        <v>1.8764631246604539E-2</v>
      </c>
      <c r="CC205" s="86">
        <f t="shared" si="53"/>
        <v>21</v>
      </c>
      <c r="CI205" s="10">
        <f t="shared" si="54"/>
        <v>12.5</v>
      </c>
      <c r="CJ205">
        <v>2.2998768170208472E-2</v>
      </c>
      <c r="CK205">
        <v>2.4926190946264751E-2</v>
      </c>
      <c r="CL205">
        <v>2.2103035536354058E-2</v>
      </c>
      <c r="CM205">
        <v>1.867340693667113E-2</v>
      </c>
      <c r="CN205">
        <v>1.4730891037127851E-2</v>
      </c>
    </row>
    <row r="206" spans="21:92" x14ac:dyDescent="0.2">
      <c r="U206" s="86">
        <f t="shared" si="43"/>
        <v>22</v>
      </c>
      <c r="AA206" s="10">
        <f t="shared" si="44"/>
        <v>13</v>
      </c>
      <c r="AB206">
        <v>2.6142283121137672E-2</v>
      </c>
      <c r="AC206">
        <v>2.092394353875441E-2</v>
      </c>
      <c r="AD206">
        <v>1.8815092441334839E-2</v>
      </c>
      <c r="AE206">
        <v>1.8510013656950361E-2</v>
      </c>
      <c r="AF206">
        <v>1.9661687486733161E-2</v>
      </c>
      <c r="AG206" s="86">
        <f t="shared" si="45"/>
        <v>22</v>
      </c>
      <c r="AM206" s="10">
        <f t="shared" si="46"/>
        <v>13</v>
      </c>
      <c r="AN206">
        <v>3.1368546089527327E-2</v>
      </c>
      <c r="AO206">
        <v>2.279174451325669E-2</v>
      </c>
      <c r="AP206">
        <v>1.7527103344170299E-2</v>
      </c>
      <c r="AQ206">
        <v>1.093008430848199E-2</v>
      </c>
      <c r="AR206">
        <v>1.045514955031341E-2</v>
      </c>
      <c r="AS206" s="86">
        <f t="shared" si="47"/>
        <v>22</v>
      </c>
      <c r="AY206" s="10">
        <f t="shared" si="48"/>
        <v>13</v>
      </c>
      <c r="AZ206">
        <v>2.5116192720694909E-2</v>
      </c>
      <c r="BA206">
        <v>2.5824172635648159E-2</v>
      </c>
      <c r="BB206">
        <v>1.2262331343286579E-2</v>
      </c>
      <c r="BC206">
        <v>2.0369301318245041E-2</v>
      </c>
      <c r="BD206">
        <v>6.9504706371219587E-3</v>
      </c>
      <c r="BE206" s="86">
        <f t="shared" si="49"/>
        <v>22</v>
      </c>
      <c r="BK206" s="10">
        <f t="shared" si="50"/>
        <v>13</v>
      </c>
      <c r="BL206">
        <v>3.4083800269765437E-2</v>
      </c>
      <c r="BM206">
        <v>3.2645279137107318E-2</v>
      </c>
      <c r="BN206">
        <v>2.603730713324489E-2</v>
      </c>
      <c r="BO206">
        <v>2.2707043448104581E-2</v>
      </c>
      <c r="BP206">
        <v>1.3543001609029709E-2</v>
      </c>
      <c r="BQ206" s="86">
        <f t="shared" si="51"/>
        <v>22</v>
      </c>
      <c r="BW206" s="10">
        <f t="shared" si="52"/>
        <v>13</v>
      </c>
      <c r="BX206">
        <v>2.162599074808718E-2</v>
      </c>
      <c r="BY206">
        <v>2.6301441911426509E-2</v>
      </c>
      <c r="BZ206">
        <v>2.3515895824940479E-2</v>
      </c>
      <c r="CA206">
        <v>1.9037755175525389E-2</v>
      </c>
      <c r="CB206">
        <v>1.6766338569414591E-2</v>
      </c>
      <c r="CC206" s="86">
        <f t="shared" si="53"/>
        <v>22</v>
      </c>
      <c r="CI206" s="10">
        <f t="shared" si="54"/>
        <v>13</v>
      </c>
      <c r="CJ206">
        <v>2.1595771754368779E-2</v>
      </c>
      <c r="CK206">
        <v>2.507281595327061E-2</v>
      </c>
      <c r="CL206">
        <v>2.0815592465108512E-2</v>
      </c>
      <c r="CM206">
        <v>1.5701380929987688E-2</v>
      </c>
      <c r="CN206">
        <v>1.314585728199801E-2</v>
      </c>
    </row>
    <row r="207" spans="21:92" x14ac:dyDescent="0.2">
      <c r="U207" s="86">
        <f t="shared" si="43"/>
        <v>23</v>
      </c>
      <c r="AA207" s="10">
        <f t="shared" si="44"/>
        <v>13.5</v>
      </c>
      <c r="AB207">
        <v>2.363189590461685E-2</v>
      </c>
      <c r="AC207">
        <v>1.91587815828714E-2</v>
      </c>
      <c r="AD207">
        <v>1.7649946001700671E-2</v>
      </c>
      <c r="AE207">
        <v>1.6669050817753231E-2</v>
      </c>
      <c r="AF207">
        <v>1.683577542199418E-2</v>
      </c>
      <c r="AG207" s="86">
        <f t="shared" si="45"/>
        <v>23</v>
      </c>
      <c r="AM207" s="10">
        <f t="shared" si="46"/>
        <v>13.5</v>
      </c>
      <c r="AN207">
        <v>2.9275132278381449E-2</v>
      </c>
      <c r="AO207">
        <v>1.8149063301068399E-2</v>
      </c>
      <c r="AP207">
        <v>1.534814278316324E-2</v>
      </c>
      <c r="AQ207">
        <v>1.014434030600707E-2</v>
      </c>
      <c r="AR207">
        <v>8.5871929002712261E-3</v>
      </c>
      <c r="AS207" s="86">
        <f t="shared" si="47"/>
        <v>23</v>
      </c>
      <c r="AY207" s="10">
        <f t="shared" si="48"/>
        <v>13.5</v>
      </c>
      <c r="AZ207">
        <v>2.208845763962498E-2</v>
      </c>
      <c r="BA207">
        <v>2.424298954701861E-2</v>
      </c>
      <c r="BB207">
        <v>1.233802885280226E-2</v>
      </c>
      <c r="BC207">
        <v>1.882964770717056E-2</v>
      </c>
      <c r="BD207">
        <v>5.1256221327092323E-3</v>
      </c>
      <c r="BE207" s="86">
        <f t="shared" si="49"/>
        <v>23</v>
      </c>
      <c r="BK207" s="10">
        <f t="shared" si="50"/>
        <v>13.5</v>
      </c>
      <c r="BL207">
        <v>3.2708570596725967E-2</v>
      </c>
      <c r="BM207">
        <v>3.024654019822999E-2</v>
      </c>
      <c r="BN207">
        <v>2.2474558071479179E-2</v>
      </c>
      <c r="BO207">
        <v>2.0717103233462559E-2</v>
      </c>
      <c r="BP207">
        <v>9.8357444551898047E-3</v>
      </c>
      <c r="BQ207" s="86">
        <f t="shared" si="51"/>
        <v>23</v>
      </c>
      <c r="BW207" s="10">
        <f t="shared" si="52"/>
        <v>13.5</v>
      </c>
      <c r="BX207">
        <v>2.110509719926966E-2</v>
      </c>
      <c r="BY207">
        <v>2.4010790169179459E-2</v>
      </c>
      <c r="BZ207">
        <v>2.201526420428589E-2</v>
      </c>
      <c r="CA207">
        <v>1.6773828366608429E-2</v>
      </c>
      <c r="CB207">
        <v>1.469440010736409E-2</v>
      </c>
      <c r="CC207" s="86">
        <f t="shared" si="53"/>
        <v>23</v>
      </c>
      <c r="CI207" s="10">
        <f t="shared" si="54"/>
        <v>13.5</v>
      </c>
      <c r="CJ207">
        <v>2.019823561141362E-2</v>
      </c>
      <c r="CK207">
        <v>2.5086019246446808E-2</v>
      </c>
      <c r="CL207">
        <v>1.975555578300655E-2</v>
      </c>
      <c r="CM207">
        <v>1.2880247238593861E-2</v>
      </c>
      <c r="CN207">
        <v>1.2754688975530309E-2</v>
      </c>
    </row>
    <row r="208" spans="21:92" x14ac:dyDescent="0.2">
      <c r="U208" s="86">
        <f t="shared" si="43"/>
        <v>24</v>
      </c>
      <c r="AA208" s="10">
        <f t="shared" si="44"/>
        <v>14</v>
      </c>
      <c r="AB208">
        <v>2.149707210654915E-2</v>
      </c>
      <c r="AC208">
        <v>1.7022773984137589E-2</v>
      </c>
      <c r="AD208">
        <v>1.554904694400607E-2</v>
      </c>
      <c r="AE208">
        <v>1.439109463995584E-2</v>
      </c>
      <c r="AF208">
        <v>1.373030729204458E-2</v>
      </c>
      <c r="AG208" s="86">
        <f t="shared" si="45"/>
        <v>24</v>
      </c>
      <c r="AM208" s="10">
        <f t="shared" si="46"/>
        <v>14</v>
      </c>
      <c r="AN208">
        <v>2.6370701060324499E-2</v>
      </c>
      <c r="AO208">
        <v>1.4264887026245031E-2</v>
      </c>
      <c r="AP208">
        <v>1.275273372084495E-2</v>
      </c>
      <c r="AQ208">
        <v>9.6069115222021575E-3</v>
      </c>
      <c r="AR208">
        <v>7.8911185813176857E-3</v>
      </c>
      <c r="AS208" s="86">
        <f t="shared" si="47"/>
        <v>24</v>
      </c>
      <c r="AY208" s="10">
        <f t="shared" si="48"/>
        <v>14</v>
      </c>
      <c r="AZ208">
        <v>1.943361719712005E-2</v>
      </c>
      <c r="BA208">
        <v>2.178561200426397E-2</v>
      </c>
      <c r="BB208">
        <v>1.2164036982957061E-2</v>
      </c>
      <c r="BC208">
        <v>1.667823368754167E-2</v>
      </c>
      <c r="BD208">
        <v>4.39736860971699E-3</v>
      </c>
      <c r="BE208" s="86">
        <f t="shared" si="49"/>
        <v>24</v>
      </c>
      <c r="BK208" s="10">
        <f t="shared" si="50"/>
        <v>14</v>
      </c>
      <c r="BL208">
        <v>3.0977900368356921E-2</v>
      </c>
      <c r="BM208">
        <v>2.7550885063857049E-2</v>
      </c>
      <c r="BN208">
        <v>1.910545605673656E-2</v>
      </c>
      <c r="BO208">
        <v>1.7392110706937969E-2</v>
      </c>
      <c r="BP208">
        <v>6.9230410565051023E-3</v>
      </c>
      <c r="BQ208" s="86">
        <f t="shared" si="51"/>
        <v>24</v>
      </c>
      <c r="BW208" s="10">
        <f t="shared" si="52"/>
        <v>14</v>
      </c>
      <c r="BX208">
        <v>2.097062318799579E-2</v>
      </c>
      <c r="BY208">
        <v>2.1664429214598959E-2</v>
      </c>
      <c r="BZ208">
        <v>2.014911883199608E-2</v>
      </c>
      <c r="CA208">
        <v>1.4230055900560401E-2</v>
      </c>
      <c r="CB208">
        <v>1.230496795187495E-2</v>
      </c>
      <c r="CC208" s="86">
        <f t="shared" si="53"/>
        <v>24</v>
      </c>
      <c r="CI208" s="10">
        <f t="shared" si="54"/>
        <v>14</v>
      </c>
      <c r="CJ208">
        <v>1.8776741183626312E-2</v>
      </c>
      <c r="CK208">
        <v>2.49077183672777E-2</v>
      </c>
      <c r="CL208">
        <v>1.9102998759008241E-2</v>
      </c>
      <c r="CM208">
        <v>1.0784283739029741E-2</v>
      </c>
      <c r="CN208">
        <v>1.39592742847698E-2</v>
      </c>
    </row>
    <row r="209" spans="21:92" x14ac:dyDescent="0.2">
      <c r="U209" s="86">
        <f t="shared" si="43"/>
        <v>25</v>
      </c>
      <c r="AA209" s="10">
        <f t="shared" si="44"/>
        <v>14.5</v>
      </c>
      <c r="AB209">
        <v>1.9542070783993459E-2</v>
      </c>
      <c r="AC209">
        <v>1.4591792611016501E-2</v>
      </c>
      <c r="AD209">
        <v>1.3409625295891309E-2</v>
      </c>
      <c r="AE209">
        <v>1.2324088556024571E-2</v>
      </c>
      <c r="AF209">
        <v>1.0854226581067919E-2</v>
      </c>
      <c r="AG209" s="86">
        <f t="shared" si="45"/>
        <v>25</v>
      </c>
      <c r="AM209" s="10">
        <f t="shared" si="46"/>
        <v>14.5</v>
      </c>
      <c r="AN209">
        <v>2.3278426610290021E-2</v>
      </c>
      <c r="AO209">
        <v>1.0975521425978831E-2</v>
      </c>
      <c r="AP209">
        <v>1.028488810869033E-2</v>
      </c>
      <c r="AQ209">
        <v>9.0273022563801836E-3</v>
      </c>
      <c r="AR209">
        <v>7.6094499223835453E-3</v>
      </c>
      <c r="AS209" s="86">
        <f t="shared" si="47"/>
        <v>25</v>
      </c>
      <c r="AY209" s="10">
        <f t="shared" si="48"/>
        <v>14.5</v>
      </c>
      <c r="AZ209">
        <v>1.7090353466471499E-2</v>
      </c>
      <c r="BA209">
        <v>1.9093769712182448E-2</v>
      </c>
      <c r="BB209">
        <v>1.1321922648853851E-2</v>
      </c>
      <c r="BC209">
        <v>1.409743545771254E-2</v>
      </c>
      <c r="BD209">
        <v>4.2230652833056478E-3</v>
      </c>
      <c r="BE209" s="86">
        <f t="shared" si="49"/>
        <v>25</v>
      </c>
      <c r="BK209" s="10">
        <f t="shared" si="50"/>
        <v>14.5</v>
      </c>
      <c r="BL209">
        <v>2.9095142349517419E-2</v>
      </c>
      <c r="BM209">
        <v>2.4794444038425279E-2</v>
      </c>
      <c r="BN209">
        <v>1.6079233808965979E-2</v>
      </c>
      <c r="BO209">
        <v>1.412357301338853E-2</v>
      </c>
      <c r="BP209">
        <v>5.0994763019608534E-3</v>
      </c>
      <c r="BQ209" s="86">
        <f t="shared" si="51"/>
        <v>25</v>
      </c>
      <c r="BW209" s="10">
        <f t="shared" si="52"/>
        <v>14.5</v>
      </c>
      <c r="BX209">
        <v>2.0927376303054399E-2</v>
      </c>
      <c r="BY209">
        <v>1.9305392334114161E-2</v>
      </c>
      <c r="BZ209">
        <v>1.817441959973503E-2</v>
      </c>
      <c r="CA209">
        <v>1.1723037495590441E-2</v>
      </c>
      <c r="CB209">
        <v>1.005964997148201E-2</v>
      </c>
      <c r="CC209" s="86">
        <f t="shared" si="53"/>
        <v>25</v>
      </c>
      <c r="CI209" s="10">
        <f t="shared" si="54"/>
        <v>14.5</v>
      </c>
      <c r="CJ209">
        <v>1.755081162051985E-2</v>
      </c>
      <c r="CK209">
        <v>2.4723864431595851E-2</v>
      </c>
      <c r="CL209">
        <v>1.8691384744812339E-2</v>
      </c>
      <c r="CM209">
        <v>9.0872598550893174E-3</v>
      </c>
      <c r="CN209">
        <v>1.4816350286126779E-2</v>
      </c>
    </row>
    <row r="210" spans="21:92" x14ac:dyDescent="0.2">
      <c r="U210" s="86">
        <f t="shared" si="43"/>
        <v>26</v>
      </c>
      <c r="AA210" s="10">
        <f t="shared" si="44"/>
        <v>15</v>
      </c>
      <c r="AB210">
        <v>1.779100131061832E-2</v>
      </c>
      <c r="AC210">
        <v>1.199822423473558E-2</v>
      </c>
      <c r="AD210">
        <v>1.135146455291617E-2</v>
      </c>
      <c r="AE210">
        <v>1.0473164425647261E-2</v>
      </c>
      <c r="AF210">
        <v>8.2088258968093901E-3</v>
      </c>
      <c r="AG210" s="86">
        <f t="shared" si="45"/>
        <v>26</v>
      </c>
      <c r="AM210" s="10">
        <f t="shared" si="46"/>
        <v>15</v>
      </c>
      <c r="AN210">
        <v>1.9992092054100311E-2</v>
      </c>
      <c r="AO210">
        <v>8.2794071478128565E-3</v>
      </c>
      <c r="AP210">
        <v>8.0173768483862932E-3</v>
      </c>
      <c r="AQ210">
        <v>8.2682875370090857E-3</v>
      </c>
      <c r="AR210">
        <v>7.3564465630080308E-3</v>
      </c>
      <c r="AS210" s="86">
        <f t="shared" si="47"/>
        <v>26</v>
      </c>
      <c r="AY210" s="10">
        <f t="shared" si="48"/>
        <v>15</v>
      </c>
      <c r="AZ210">
        <v>1.522399772289156E-2</v>
      </c>
      <c r="BA210">
        <v>1.6144685136589981E-2</v>
      </c>
      <c r="BB210">
        <v>1.007293448192016E-2</v>
      </c>
      <c r="BC210">
        <v>1.1231393428008451E-2</v>
      </c>
      <c r="BD210">
        <v>3.7781855794684301E-3</v>
      </c>
      <c r="BE210" s="86">
        <f t="shared" si="49"/>
        <v>26</v>
      </c>
      <c r="BK210" s="10">
        <f t="shared" si="50"/>
        <v>15</v>
      </c>
      <c r="BL210">
        <v>2.7062656528659509E-2</v>
      </c>
      <c r="BM210">
        <v>2.200328499605176E-2</v>
      </c>
      <c r="BN210">
        <v>1.360778399329414E-2</v>
      </c>
      <c r="BO210">
        <v>1.094055111408321E-2</v>
      </c>
      <c r="BP210">
        <v>3.771616478408216E-3</v>
      </c>
      <c r="BQ210" s="86">
        <f t="shared" si="51"/>
        <v>26</v>
      </c>
      <c r="BW210" s="10">
        <f t="shared" si="52"/>
        <v>15</v>
      </c>
      <c r="BX210">
        <v>2.0887443629986052E-2</v>
      </c>
      <c r="BY210">
        <v>1.7307759718973231E-2</v>
      </c>
      <c r="BZ210">
        <v>1.6097537163965971E-2</v>
      </c>
      <c r="CA210">
        <v>9.298354351590498E-3</v>
      </c>
      <c r="CB210">
        <v>7.9743004458104876E-3</v>
      </c>
      <c r="CC210" s="86">
        <f t="shared" si="53"/>
        <v>26</v>
      </c>
      <c r="CI210" s="10">
        <f t="shared" si="54"/>
        <v>15</v>
      </c>
      <c r="CJ210">
        <v>1.6302412080700761E-2</v>
      </c>
      <c r="CK210">
        <v>2.4241479840701401E-2</v>
      </c>
      <c r="CL210">
        <v>1.8810559348770801E-2</v>
      </c>
      <c r="CM210">
        <v>8.3606450833983523E-3</v>
      </c>
      <c r="CN210">
        <v>1.4730088960458149E-2</v>
      </c>
    </row>
    <row r="211" spans="21:92" x14ac:dyDescent="0.2">
      <c r="U211" s="86">
        <f t="shared" si="43"/>
        <v>27</v>
      </c>
      <c r="AA211" s="10">
        <f t="shared" si="44"/>
        <v>15.5</v>
      </c>
      <c r="AB211">
        <v>1.5994922233231779E-2</v>
      </c>
      <c r="AC211">
        <v>9.4292772709480069E-3</v>
      </c>
      <c r="AD211">
        <v>9.7551052672238993E-3</v>
      </c>
      <c r="AE211">
        <v>9.1657684973042979E-3</v>
      </c>
      <c r="AF211">
        <v>6.3338694790781181E-3</v>
      </c>
      <c r="AG211" s="86">
        <f t="shared" si="45"/>
        <v>27</v>
      </c>
      <c r="AM211" s="10">
        <f t="shared" si="46"/>
        <v>15.5</v>
      </c>
      <c r="AN211">
        <v>1.709647667229049E-2</v>
      </c>
      <c r="AO211">
        <v>6.5913884919773097E-3</v>
      </c>
      <c r="AP211">
        <v>6.5085871169812612E-3</v>
      </c>
      <c r="AQ211">
        <v>7.1202048785498307E-3</v>
      </c>
      <c r="AR211">
        <v>6.9857858056318603E-3</v>
      </c>
      <c r="AS211" s="86">
        <f t="shared" si="47"/>
        <v>27</v>
      </c>
      <c r="AY211" s="10">
        <f t="shared" si="48"/>
        <v>15.5</v>
      </c>
      <c r="AZ211">
        <v>1.38362113421562E-2</v>
      </c>
      <c r="BA211">
        <v>1.3492466422703809E-2</v>
      </c>
      <c r="BB211">
        <v>8.4549600822365224E-3</v>
      </c>
      <c r="BC211">
        <v>8.3426484409507458E-3</v>
      </c>
      <c r="BD211">
        <v>3.2187450223810261E-3</v>
      </c>
      <c r="BE211" s="86">
        <f t="shared" si="49"/>
        <v>27</v>
      </c>
      <c r="BK211" s="10">
        <f t="shared" si="50"/>
        <v>15.5</v>
      </c>
      <c r="BL211">
        <v>2.5034684503460441E-2</v>
      </c>
      <c r="BM211">
        <v>1.933675773629236E-2</v>
      </c>
      <c r="BN211">
        <v>1.16815423409459E-2</v>
      </c>
      <c r="BO211">
        <v>8.8091629862462276E-3</v>
      </c>
      <c r="BP211">
        <v>2.8413662305719371E-3</v>
      </c>
      <c r="BQ211" s="86">
        <f t="shared" si="51"/>
        <v>27</v>
      </c>
      <c r="BW211" s="10">
        <f t="shared" si="52"/>
        <v>15.5</v>
      </c>
      <c r="BX211">
        <v>2.037764190039807E-2</v>
      </c>
      <c r="BY211">
        <v>1.549391995108533E-2</v>
      </c>
      <c r="BZ211">
        <v>1.408297782711585E-2</v>
      </c>
      <c r="CA211">
        <v>7.4037059040353414E-3</v>
      </c>
      <c r="CB211">
        <v>6.7290179132957319E-3</v>
      </c>
      <c r="CC211" s="86">
        <f t="shared" si="53"/>
        <v>27</v>
      </c>
      <c r="CI211" s="10">
        <f t="shared" si="54"/>
        <v>15.5</v>
      </c>
      <c r="CJ211">
        <v>1.532987790092699E-2</v>
      </c>
      <c r="CK211">
        <v>2.3877706407140611E-2</v>
      </c>
      <c r="CL211">
        <v>1.9187436962353008E-2</v>
      </c>
      <c r="CM211">
        <v>8.1281422990866752E-3</v>
      </c>
      <c r="CN211">
        <v>1.2886311444214781E-2</v>
      </c>
    </row>
    <row r="212" spans="21:92" x14ac:dyDescent="0.2">
      <c r="U212" s="86">
        <f t="shared" si="43"/>
        <v>28</v>
      </c>
      <c r="AA212" s="10">
        <f t="shared" si="44"/>
        <v>16</v>
      </c>
      <c r="AB212">
        <v>1.406440314152547E-2</v>
      </c>
      <c r="AC212">
        <v>7.5011199643353153E-3</v>
      </c>
      <c r="AD212">
        <v>8.5763479974437593E-3</v>
      </c>
      <c r="AE212">
        <v>8.0170364103789738E-3</v>
      </c>
      <c r="AF212">
        <v>4.7823562557040202E-3</v>
      </c>
      <c r="AG212" s="86">
        <f t="shared" si="45"/>
        <v>28</v>
      </c>
      <c r="AM212" s="10">
        <f t="shared" si="46"/>
        <v>16</v>
      </c>
      <c r="AN212">
        <v>1.450730734262006E-2</v>
      </c>
      <c r="AO212">
        <v>5.295696771310197E-3</v>
      </c>
      <c r="AP212">
        <v>5.3868142828109918E-3</v>
      </c>
      <c r="AQ212">
        <v>5.5477963677761774E-3</v>
      </c>
      <c r="AR212">
        <v>6.791013695098819E-3</v>
      </c>
      <c r="AS212" s="86">
        <f t="shared" si="47"/>
        <v>28</v>
      </c>
      <c r="AY212" s="10">
        <f t="shared" si="48"/>
        <v>16</v>
      </c>
      <c r="AZ212">
        <v>1.26368657150363E-2</v>
      </c>
      <c r="BA212">
        <v>1.1092527529082401E-2</v>
      </c>
      <c r="BB212">
        <v>6.6729662499559706E-3</v>
      </c>
      <c r="BC212">
        <v>5.8904838292034691E-3</v>
      </c>
      <c r="BD212">
        <v>2.7083079437164332E-3</v>
      </c>
      <c r="BE212" s="86">
        <f t="shared" si="49"/>
        <v>28</v>
      </c>
      <c r="BK212" s="10">
        <f t="shared" si="50"/>
        <v>16</v>
      </c>
      <c r="BL212">
        <v>2.3012550862292189E-2</v>
      </c>
      <c r="BM212">
        <v>1.6768403474128821E-2</v>
      </c>
      <c r="BN212">
        <v>1.0000873355383419E-2</v>
      </c>
      <c r="BO212">
        <v>7.1519479192435039E-3</v>
      </c>
      <c r="BP212">
        <v>2.3203557702664501E-3</v>
      </c>
      <c r="BQ212" s="86">
        <f t="shared" si="51"/>
        <v>28</v>
      </c>
      <c r="BW212" s="10">
        <f t="shared" si="52"/>
        <v>16</v>
      </c>
      <c r="BX212">
        <v>1.953101786658502E-2</v>
      </c>
      <c r="BY212">
        <v>1.414169990023747E-2</v>
      </c>
      <c r="BZ212">
        <v>1.2094589099221349E-2</v>
      </c>
      <c r="CA212">
        <v>5.8425596830652673E-3</v>
      </c>
      <c r="CB212">
        <v>5.8299398868199232E-3</v>
      </c>
      <c r="CC212" s="86">
        <f t="shared" si="53"/>
        <v>28</v>
      </c>
      <c r="CI212" s="10">
        <f t="shared" si="54"/>
        <v>16</v>
      </c>
      <c r="CJ212">
        <v>1.482861352874832E-2</v>
      </c>
      <c r="CK212">
        <v>2.3449563885919358E-2</v>
      </c>
      <c r="CL212">
        <v>2.0365337848456989E-2</v>
      </c>
      <c r="CM212">
        <v>8.259215445662195E-3</v>
      </c>
      <c r="CN212">
        <v>9.6422330050431829E-3</v>
      </c>
    </row>
    <row r="213" spans="21:92" x14ac:dyDescent="0.2">
      <c r="U213" s="86">
        <f t="shared" si="43"/>
        <v>29</v>
      </c>
      <c r="AA213" s="10">
        <f t="shared" si="44"/>
        <v>16.5</v>
      </c>
      <c r="AB213">
        <v>1.1950222472965989E-2</v>
      </c>
      <c r="AC213">
        <v>6.0652993160330917E-3</v>
      </c>
      <c r="AD213">
        <v>7.6790980291181173E-3</v>
      </c>
      <c r="AE213">
        <v>6.9468332739087016E-3</v>
      </c>
      <c r="AF213">
        <v>3.5425392805788808E-3</v>
      </c>
      <c r="AG213" s="86">
        <f t="shared" si="45"/>
        <v>29</v>
      </c>
      <c r="AM213" s="10">
        <f t="shared" si="46"/>
        <v>16.5</v>
      </c>
      <c r="AN213">
        <v>1.2424928985526971E-2</v>
      </c>
      <c r="AO213">
        <v>4.4989646314279813E-3</v>
      </c>
      <c r="AP213">
        <v>4.7672420485359883E-3</v>
      </c>
      <c r="AQ213">
        <v>4.0352702141663527E-3</v>
      </c>
      <c r="AR213">
        <v>6.7291215129909997E-3</v>
      </c>
      <c r="AS213" s="86">
        <f t="shared" si="47"/>
        <v>29</v>
      </c>
      <c r="AY213" s="10">
        <f t="shared" si="48"/>
        <v>16.5</v>
      </c>
      <c r="AZ213">
        <v>1.1551360959607789E-2</v>
      </c>
      <c r="BA213">
        <v>9.0919441292317098E-3</v>
      </c>
      <c r="BB213">
        <v>4.9268925681291162E-3</v>
      </c>
      <c r="BC213">
        <v>3.868104889748212E-3</v>
      </c>
      <c r="BD213">
        <v>2.6558149488528182E-3</v>
      </c>
      <c r="BE213" s="86">
        <f t="shared" si="49"/>
        <v>29</v>
      </c>
      <c r="BK213" s="10">
        <f t="shared" si="50"/>
        <v>16.5</v>
      </c>
      <c r="BL213">
        <v>2.109805908693934E-2</v>
      </c>
      <c r="BM213">
        <v>1.4456216458554711E-2</v>
      </c>
      <c r="BN213">
        <v>8.4605880711879963E-3</v>
      </c>
      <c r="BO213">
        <v>5.9114759659126227E-3</v>
      </c>
      <c r="BP213">
        <v>2.2972866726953421E-3</v>
      </c>
      <c r="BQ213" s="86">
        <f t="shared" si="51"/>
        <v>29</v>
      </c>
      <c r="BW213" s="10">
        <f t="shared" si="52"/>
        <v>16.5</v>
      </c>
      <c r="BX213">
        <v>1.7573741143456351E-2</v>
      </c>
      <c r="BY213">
        <v>1.33736176609807E-2</v>
      </c>
      <c r="BZ213">
        <v>1.040026718207223E-2</v>
      </c>
      <c r="CA213">
        <v>4.7774416838102293E-3</v>
      </c>
      <c r="CB213">
        <v>5.2991916795396788E-3</v>
      </c>
      <c r="CC213" s="86">
        <f t="shared" si="53"/>
        <v>29</v>
      </c>
      <c r="CI213" s="10">
        <f t="shared" si="54"/>
        <v>16.5</v>
      </c>
      <c r="CJ213">
        <v>1.4875772782169431E-2</v>
      </c>
      <c r="CK213">
        <v>2.3290011211276732E-2</v>
      </c>
      <c r="CL213">
        <v>2.173986421009139E-2</v>
      </c>
      <c r="CM213">
        <v>8.6518813872912305E-3</v>
      </c>
      <c r="CN213">
        <v>6.7039183521929889E-3</v>
      </c>
    </row>
    <row r="214" spans="21:92" x14ac:dyDescent="0.2">
      <c r="U214" s="86">
        <f t="shared" si="43"/>
        <v>30</v>
      </c>
      <c r="AA214" s="10">
        <f t="shared" si="44"/>
        <v>17</v>
      </c>
      <c r="AB214">
        <v>9.7573356840941119E-3</v>
      </c>
      <c r="AC214">
        <v>5.3006869523916558E-3</v>
      </c>
      <c r="AD214">
        <v>7.115020942788289E-3</v>
      </c>
      <c r="AE214">
        <v>5.7772956570866793E-3</v>
      </c>
      <c r="AF214">
        <v>2.7079049976584751E-3</v>
      </c>
      <c r="AG214" s="86">
        <f t="shared" si="45"/>
        <v>30</v>
      </c>
      <c r="AM214" s="10">
        <f t="shared" si="46"/>
        <v>17</v>
      </c>
      <c r="AN214">
        <v>1.0718676214045941E-2</v>
      </c>
      <c r="AO214">
        <v>4.2880944824615127E-3</v>
      </c>
      <c r="AP214">
        <v>4.6663592348492079E-3</v>
      </c>
      <c r="AQ214">
        <v>2.828983471961121E-3</v>
      </c>
      <c r="AR214">
        <v>6.6448252460579024E-3</v>
      </c>
      <c r="AS214" s="86">
        <f t="shared" si="47"/>
        <v>30</v>
      </c>
      <c r="AY214" s="10">
        <f t="shared" si="48"/>
        <v>17</v>
      </c>
      <c r="AZ214">
        <v>1.037935073251584E-2</v>
      </c>
      <c r="BA214">
        <v>7.5239149860794798E-3</v>
      </c>
      <c r="BB214">
        <v>3.490430005127363E-3</v>
      </c>
      <c r="BC214">
        <v>2.522527731819517E-3</v>
      </c>
      <c r="BD214">
        <v>2.4713689225542811E-3</v>
      </c>
      <c r="BE214" s="86">
        <f t="shared" si="49"/>
        <v>30</v>
      </c>
      <c r="BK214" s="10">
        <f t="shared" si="50"/>
        <v>17</v>
      </c>
      <c r="BL214">
        <v>1.9245776049941699E-2</v>
      </c>
      <c r="BM214">
        <v>1.2401402963584281E-2</v>
      </c>
      <c r="BN214">
        <v>7.1309483852335038E-3</v>
      </c>
      <c r="BO214">
        <v>4.907276390252061E-3</v>
      </c>
      <c r="BP214">
        <v>2.603834123521726E-3</v>
      </c>
      <c r="BQ214" s="86">
        <f t="shared" si="51"/>
        <v>30</v>
      </c>
      <c r="BW214" s="10">
        <f t="shared" si="52"/>
        <v>17</v>
      </c>
      <c r="BX214">
        <v>1.5334901343990751E-2</v>
      </c>
      <c r="BY214">
        <v>1.3217400759848711E-2</v>
      </c>
      <c r="BZ214">
        <v>9.0266646009887763E-3</v>
      </c>
      <c r="CA214">
        <v>4.2295873670176358E-3</v>
      </c>
      <c r="CB214">
        <v>4.8814831953629297E-3</v>
      </c>
      <c r="CC214" s="86">
        <f t="shared" si="53"/>
        <v>30</v>
      </c>
      <c r="CI214" s="10">
        <f t="shared" si="54"/>
        <v>17</v>
      </c>
      <c r="CJ214">
        <v>1.5706780225878941E-2</v>
      </c>
      <c r="CK214">
        <v>2.338182785253801E-2</v>
      </c>
      <c r="CL214">
        <v>2.3823709891790241E-2</v>
      </c>
      <c r="CM214">
        <v>9.0892938946824566E-3</v>
      </c>
      <c r="CN214">
        <v>4.6173725132848736E-3</v>
      </c>
    </row>
    <row r="215" spans="21:92" x14ac:dyDescent="0.2">
      <c r="U215" s="86">
        <f t="shared" si="43"/>
        <v>31</v>
      </c>
      <c r="AA215" s="10">
        <f t="shared" si="44"/>
        <v>17.5</v>
      </c>
      <c r="AB215">
        <v>7.6978023568862516E-3</v>
      </c>
      <c r="AC215">
        <v>4.7061687768715516E-3</v>
      </c>
      <c r="AD215">
        <v>6.8653359652189614E-3</v>
      </c>
      <c r="AE215">
        <v>4.6021880436839368E-3</v>
      </c>
      <c r="AF215">
        <v>2.0762581773328781E-3</v>
      </c>
      <c r="AG215" s="86">
        <f t="shared" si="45"/>
        <v>31</v>
      </c>
      <c r="AM215" s="10">
        <f t="shared" si="46"/>
        <v>17.5</v>
      </c>
      <c r="AN215">
        <v>9.1634787998748773E-3</v>
      </c>
      <c r="AO215">
        <v>4.2967992418652722E-3</v>
      </c>
      <c r="AP215">
        <v>4.8060017751981789E-3</v>
      </c>
      <c r="AQ215">
        <v>2.6541158111654151E-3</v>
      </c>
      <c r="AR215">
        <v>6.0874155939914208E-3</v>
      </c>
      <c r="AS215" s="86">
        <f t="shared" si="47"/>
        <v>31</v>
      </c>
      <c r="AY215" s="10">
        <f t="shared" si="48"/>
        <v>17.5</v>
      </c>
      <c r="AZ215">
        <v>9.2028928551483383E-3</v>
      </c>
      <c r="BA215">
        <v>6.1914515443693011E-3</v>
      </c>
      <c r="BB215">
        <v>2.7589963861890951E-3</v>
      </c>
      <c r="BC215">
        <v>1.863727930257641E-3</v>
      </c>
      <c r="BD215">
        <v>2.1614467566638731E-3</v>
      </c>
      <c r="BE215" s="86">
        <f t="shared" si="49"/>
        <v>31</v>
      </c>
      <c r="BK215" s="10">
        <f t="shared" si="50"/>
        <v>17.5</v>
      </c>
      <c r="BL215">
        <v>1.758273154882738E-2</v>
      </c>
      <c r="BM215">
        <v>1.068640558687939E-2</v>
      </c>
      <c r="BN215">
        <v>6.0575433432850743E-3</v>
      </c>
      <c r="BO215">
        <v>3.9518127531211027E-3</v>
      </c>
      <c r="BP215">
        <v>3.182580998597564E-3</v>
      </c>
      <c r="BQ215" s="86">
        <f t="shared" si="51"/>
        <v>31</v>
      </c>
      <c r="BW215" s="10">
        <f t="shared" si="52"/>
        <v>17.5</v>
      </c>
      <c r="BX215">
        <v>1.274363565402082E-2</v>
      </c>
      <c r="BY215">
        <v>1.390290081864628E-2</v>
      </c>
      <c r="BZ215">
        <v>8.0968822949212278E-3</v>
      </c>
      <c r="CA215">
        <v>3.902898313474245E-3</v>
      </c>
      <c r="CB215">
        <v>4.3980238602862546E-3</v>
      </c>
      <c r="CC215" s="86">
        <f t="shared" si="53"/>
        <v>31</v>
      </c>
      <c r="CI215" s="10">
        <f t="shared" si="54"/>
        <v>17.5</v>
      </c>
      <c r="CJ215">
        <v>1.7190525024669709E-2</v>
      </c>
      <c r="CK215">
        <v>2.3714289617087918E-2</v>
      </c>
      <c r="CL215">
        <v>2.6066222095064359E-2</v>
      </c>
      <c r="CM215">
        <v>9.4488223779209905E-3</v>
      </c>
      <c r="CN215">
        <v>4.4195163374775963E-3</v>
      </c>
    </row>
    <row r="216" spans="21:92" x14ac:dyDescent="0.2">
      <c r="U216" s="86">
        <f t="shared" si="43"/>
        <v>32</v>
      </c>
      <c r="AA216" s="10">
        <f t="shared" si="44"/>
        <v>18</v>
      </c>
      <c r="AB216">
        <v>5.8667443151953838E-3</v>
      </c>
      <c r="AC216">
        <v>4.1221292957658714E-3</v>
      </c>
      <c r="AD216">
        <v>6.7047195696253864E-3</v>
      </c>
      <c r="AE216">
        <v>3.5074315151969728E-3</v>
      </c>
      <c r="AF216">
        <v>1.640671711840866E-3</v>
      </c>
      <c r="AG216" s="86">
        <f t="shared" si="45"/>
        <v>32</v>
      </c>
      <c r="AM216" s="10">
        <f t="shared" si="46"/>
        <v>18</v>
      </c>
      <c r="AN216">
        <v>7.7834658614242616E-3</v>
      </c>
      <c r="AO216">
        <v>4.7020193244631534E-3</v>
      </c>
      <c r="AP216">
        <v>5.254577660412746E-3</v>
      </c>
      <c r="AQ216">
        <v>3.216418652786776E-3</v>
      </c>
      <c r="AR216">
        <v>4.9717556563545189E-3</v>
      </c>
      <c r="AS216" s="86">
        <f t="shared" si="47"/>
        <v>32</v>
      </c>
      <c r="AY216" s="10">
        <f t="shared" si="48"/>
        <v>18</v>
      </c>
      <c r="AZ216">
        <v>7.9486090930563011E-3</v>
      </c>
      <c r="BA216">
        <v>5.2341258199507376E-3</v>
      </c>
      <c r="BB216">
        <v>3.309764357780751E-3</v>
      </c>
      <c r="BC216">
        <v>1.665863571844727E-3</v>
      </c>
      <c r="BD216">
        <v>1.6506696094146841E-3</v>
      </c>
      <c r="BE216" s="86">
        <f t="shared" si="49"/>
        <v>32</v>
      </c>
      <c r="BK216" s="10">
        <f t="shared" si="50"/>
        <v>18</v>
      </c>
      <c r="BL216">
        <v>1.601133147206707E-2</v>
      </c>
      <c r="BM216">
        <v>9.4984296450594356E-3</v>
      </c>
      <c r="BN216">
        <v>5.4550986581389368E-3</v>
      </c>
      <c r="BO216">
        <v>3.056265180479743E-3</v>
      </c>
      <c r="BP216">
        <v>3.647886519039677E-3</v>
      </c>
      <c r="BQ216" s="86">
        <f t="shared" si="51"/>
        <v>32</v>
      </c>
      <c r="BW216" s="10">
        <f t="shared" si="52"/>
        <v>18</v>
      </c>
      <c r="BX216">
        <v>1.037170077118312E-2</v>
      </c>
      <c r="BY216">
        <v>1.5044266569765539E-2</v>
      </c>
      <c r="BZ216">
        <v>7.8852820292649433E-3</v>
      </c>
      <c r="CA216">
        <v>3.83413973983911E-3</v>
      </c>
      <c r="CB216">
        <v>3.8305939263862188E-3</v>
      </c>
      <c r="CC216" s="86">
        <f t="shared" si="53"/>
        <v>32</v>
      </c>
      <c r="CI216" s="10">
        <f t="shared" si="54"/>
        <v>18</v>
      </c>
      <c r="CJ216">
        <v>1.9301967451964181E-2</v>
      </c>
      <c r="CK216">
        <v>2.4462720954113119E-2</v>
      </c>
      <c r="CL216">
        <v>2.856077710525658E-2</v>
      </c>
      <c r="CM216">
        <v>9.8060871364148029E-3</v>
      </c>
      <c r="CN216">
        <v>5.3474856112631372E-3</v>
      </c>
    </row>
    <row r="217" spans="21:92" x14ac:dyDescent="0.2">
      <c r="U217" s="86">
        <f t="shared" si="43"/>
        <v>33</v>
      </c>
      <c r="AA217" s="10">
        <f t="shared" si="44"/>
        <v>18.5</v>
      </c>
      <c r="AB217">
        <v>4.5887692314087736E-3</v>
      </c>
      <c r="AC217">
        <v>3.4912904876634458E-3</v>
      </c>
      <c r="AD217">
        <v>6.5786807231461757E-3</v>
      </c>
      <c r="AE217">
        <v>2.7894287954578008E-3</v>
      </c>
      <c r="AF217">
        <v>1.596193094701771E-3</v>
      </c>
      <c r="AG217" s="86">
        <f t="shared" si="45"/>
        <v>33</v>
      </c>
      <c r="AM217" s="10">
        <f t="shared" si="46"/>
        <v>18.5</v>
      </c>
      <c r="AN217">
        <v>6.5408452199130556E-3</v>
      </c>
      <c r="AO217">
        <v>5.3174664290057839E-3</v>
      </c>
      <c r="AP217">
        <v>5.8026624760259306E-3</v>
      </c>
      <c r="AQ217">
        <v>4.6613693077573936E-3</v>
      </c>
      <c r="AR217">
        <v>3.795906639211618E-3</v>
      </c>
      <c r="AS217" s="86">
        <f t="shared" si="47"/>
        <v>33</v>
      </c>
      <c r="AY217" s="10">
        <f t="shared" si="48"/>
        <v>18.5</v>
      </c>
      <c r="AZ217">
        <v>6.9318340212064676E-3</v>
      </c>
      <c r="BA217">
        <v>4.5891275088702317E-3</v>
      </c>
      <c r="BB217">
        <v>5.0549363846859822E-3</v>
      </c>
      <c r="BC217">
        <v>1.9993202214249849E-3</v>
      </c>
      <c r="BD217">
        <v>1.8781977096998081E-3</v>
      </c>
      <c r="BE217" s="86">
        <f t="shared" si="49"/>
        <v>33</v>
      </c>
      <c r="BK217" s="10">
        <f t="shared" si="50"/>
        <v>18.5</v>
      </c>
      <c r="BL217">
        <v>1.4526916633078689E-2</v>
      </c>
      <c r="BM217">
        <v>8.67743676039269E-3</v>
      </c>
      <c r="BN217">
        <v>5.4162673518679356E-3</v>
      </c>
      <c r="BO217">
        <v>2.5155449540962432E-3</v>
      </c>
      <c r="BP217">
        <v>3.8977220072857329E-3</v>
      </c>
      <c r="BQ217" s="86">
        <f t="shared" si="51"/>
        <v>33</v>
      </c>
      <c r="BW217" s="10">
        <f t="shared" si="52"/>
        <v>18.5</v>
      </c>
      <c r="BX217">
        <v>8.2565665132520848E-3</v>
      </c>
      <c r="BY217">
        <v>1.6643537709005181E-2</v>
      </c>
      <c r="BZ217">
        <v>7.9485997863940044E-3</v>
      </c>
      <c r="CA217">
        <v>3.7685952844192642E-3</v>
      </c>
      <c r="CB217">
        <v>3.2666502344871101E-3</v>
      </c>
      <c r="CC217" s="86">
        <f t="shared" si="53"/>
        <v>33</v>
      </c>
      <c r="CI217" s="10">
        <f t="shared" si="54"/>
        <v>18.5</v>
      </c>
      <c r="CJ217">
        <v>2.1588103132876891E-2</v>
      </c>
      <c r="CK217">
        <v>2.5163172520049931E-2</v>
      </c>
      <c r="CL217">
        <v>3.0856451838493129E-2</v>
      </c>
      <c r="CM217">
        <v>1.0130408651354511E-2</v>
      </c>
      <c r="CN217">
        <v>7.4842014851418731E-3</v>
      </c>
    </row>
    <row r="218" spans="21:92" x14ac:dyDescent="0.2">
      <c r="U218" s="86">
        <f t="shared" si="43"/>
        <v>34</v>
      </c>
      <c r="AA218" s="10">
        <f t="shared" si="44"/>
        <v>19</v>
      </c>
      <c r="AB218">
        <v>3.5810820222052192E-3</v>
      </c>
      <c r="AC218">
        <v>3.0233650396557718E-3</v>
      </c>
      <c r="AD218">
        <v>6.0912396831006958E-3</v>
      </c>
      <c r="AE218">
        <v>2.4579153746416829E-3</v>
      </c>
      <c r="AF218">
        <v>1.654012324600434E-3</v>
      </c>
      <c r="AG218" s="86">
        <f t="shared" si="45"/>
        <v>34</v>
      </c>
      <c r="AM218" s="10">
        <f t="shared" si="46"/>
        <v>19</v>
      </c>
      <c r="AN218">
        <v>5.447907169504382E-3</v>
      </c>
      <c r="AO218">
        <v>6.0132905878047286E-3</v>
      </c>
      <c r="AP218">
        <v>6.2503907647914712E-3</v>
      </c>
      <c r="AQ218">
        <v>6.5051038808208806E-3</v>
      </c>
      <c r="AR218">
        <v>2.7559316291685008E-3</v>
      </c>
      <c r="AS218" s="86">
        <f t="shared" si="47"/>
        <v>34</v>
      </c>
      <c r="AY218" s="10">
        <f t="shared" si="48"/>
        <v>19</v>
      </c>
      <c r="AZ218">
        <v>6.0780626231588296E-3</v>
      </c>
      <c r="BA218">
        <v>4.1367005268815446E-3</v>
      </c>
      <c r="BB218">
        <v>7.7293985779250673E-3</v>
      </c>
      <c r="BC218">
        <v>2.63865286321909E-3</v>
      </c>
      <c r="BD218">
        <v>2.798950814689987E-3</v>
      </c>
      <c r="BE218" s="86">
        <f t="shared" si="49"/>
        <v>34</v>
      </c>
      <c r="BK218" s="10">
        <f t="shared" si="50"/>
        <v>19</v>
      </c>
      <c r="BL218">
        <v>1.3033576301746889E-2</v>
      </c>
      <c r="BM218">
        <v>8.2143009213875313E-3</v>
      </c>
      <c r="BN218">
        <v>5.5979010185495774E-3</v>
      </c>
      <c r="BO218">
        <v>2.195497909752916E-3</v>
      </c>
      <c r="BP218">
        <v>3.9249123112950366E-3</v>
      </c>
      <c r="BQ218" s="86">
        <f t="shared" si="51"/>
        <v>34</v>
      </c>
      <c r="BW218" s="10">
        <f t="shared" si="52"/>
        <v>19</v>
      </c>
      <c r="BX218">
        <v>6.8265231921540914E-3</v>
      </c>
      <c r="BY218">
        <v>1.8143848836293181E-2</v>
      </c>
      <c r="BZ218">
        <v>8.387874865324595E-3</v>
      </c>
      <c r="CA218">
        <v>3.654190129993325E-3</v>
      </c>
      <c r="CB218">
        <v>2.7709413337865568E-3</v>
      </c>
      <c r="CC218" s="86">
        <f t="shared" si="53"/>
        <v>34</v>
      </c>
      <c r="CI218" s="10">
        <f t="shared" si="54"/>
        <v>19</v>
      </c>
      <c r="CJ218">
        <v>2.376140325144965E-2</v>
      </c>
      <c r="CK218">
        <v>2.6056593332143552E-2</v>
      </c>
      <c r="CL218">
        <v>3.2959195100498301E-2</v>
      </c>
      <c r="CM218">
        <v>1.030081430211691E-2</v>
      </c>
      <c r="CN218">
        <v>1.01704367090177E-2</v>
      </c>
    </row>
    <row r="219" spans="21:92" x14ac:dyDescent="0.2">
      <c r="U219" s="86">
        <f t="shared" si="43"/>
        <v>35</v>
      </c>
      <c r="AA219" s="10">
        <f t="shared" si="44"/>
        <v>19.5</v>
      </c>
      <c r="AB219">
        <v>2.9172933957363751E-3</v>
      </c>
      <c r="AC219">
        <v>2.6425129265903479E-3</v>
      </c>
      <c r="AD219">
        <v>5.3459622087169908E-3</v>
      </c>
      <c r="AE219">
        <v>2.39793633549435E-3</v>
      </c>
      <c r="AF219">
        <v>1.798710844429185E-3</v>
      </c>
      <c r="AG219" s="86">
        <f t="shared" si="45"/>
        <v>35</v>
      </c>
      <c r="AM219" s="10">
        <f t="shared" si="46"/>
        <v>19.5</v>
      </c>
      <c r="AN219">
        <v>4.5786393255919638E-3</v>
      </c>
      <c r="AO219">
        <v>6.6099799073388431E-3</v>
      </c>
      <c r="AP219">
        <v>6.3771163155750352E-3</v>
      </c>
      <c r="AQ219">
        <v>7.9820228653130886E-3</v>
      </c>
      <c r="AR219">
        <v>2.3307083290699262E-3</v>
      </c>
      <c r="AS219" s="86">
        <f t="shared" si="47"/>
        <v>35</v>
      </c>
      <c r="AY219" s="10">
        <f t="shared" si="48"/>
        <v>19.5</v>
      </c>
      <c r="AZ219">
        <v>5.6113225544187429E-3</v>
      </c>
      <c r="BA219">
        <v>3.847081578084019E-3</v>
      </c>
      <c r="BB219">
        <v>1.0306726964961641E-2</v>
      </c>
      <c r="BC219">
        <v>3.1695737084273881E-3</v>
      </c>
      <c r="BD219">
        <v>3.9150205589325139E-3</v>
      </c>
      <c r="BE219" s="86">
        <f t="shared" si="49"/>
        <v>35</v>
      </c>
      <c r="BK219" s="10">
        <f t="shared" si="50"/>
        <v>19.5</v>
      </c>
      <c r="BL219">
        <v>1.1571024181288339E-2</v>
      </c>
      <c r="BM219">
        <v>8.0793727134796794E-3</v>
      </c>
      <c r="BN219">
        <v>6.0213342362020333E-3</v>
      </c>
      <c r="BO219">
        <v>2.118505734106311E-3</v>
      </c>
      <c r="BP219">
        <v>3.6710460888026968E-3</v>
      </c>
      <c r="BQ219" s="86">
        <f t="shared" si="51"/>
        <v>35</v>
      </c>
      <c r="BW219" s="10">
        <f t="shared" si="52"/>
        <v>19.5</v>
      </c>
      <c r="BX219">
        <v>6.0006962163573546E-3</v>
      </c>
      <c r="BY219">
        <v>1.9340385662006909E-2</v>
      </c>
      <c r="BZ219">
        <v>8.7230783062797034E-3</v>
      </c>
      <c r="CA219">
        <v>3.3546508457282919E-3</v>
      </c>
      <c r="CB219">
        <v>2.3608794876370091E-3</v>
      </c>
      <c r="CC219" s="86">
        <f t="shared" si="53"/>
        <v>35</v>
      </c>
      <c r="CI219" s="10">
        <f t="shared" si="54"/>
        <v>19.5</v>
      </c>
      <c r="CJ219">
        <v>2.5165693076283361E-2</v>
      </c>
      <c r="CK219">
        <v>2.65552295092998E-2</v>
      </c>
      <c r="CL219">
        <v>3.4083576458257027E-2</v>
      </c>
      <c r="CM219">
        <v>1.0466193968022411E-2</v>
      </c>
      <c r="CN219">
        <v>1.25576746769326E-2</v>
      </c>
    </row>
    <row r="220" spans="21:92" x14ac:dyDescent="0.2">
      <c r="U220" s="86">
        <f t="shared" si="43"/>
        <v>36</v>
      </c>
      <c r="AA220" s="10">
        <f t="shared" si="44"/>
        <v>20</v>
      </c>
      <c r="AB220">
        <v>2.4212884713283671E-3</v>
      </c>
      <c r="AC220">
        <v>2.3460421082095728E-3</v>
      </c>
      <c r="AD220">
        <v>4.3355483137058433E-3</v>
      </c>
      <c r="AE220">
        <v>2.5157599343695039E-3</v>
      </c>
      <c r="AF220">
        <v>1.7984154856660901E-3</v>
      </c>
      <c r="AG220" s="86">
        <f t="shared" si="45"/>
        <v>36</v>
      </c>
      <c r="AM220" s="10">
        <f t="shared" si="46"/>
        <v>20</v>
      </c>
      <c r="AN220">
        <v>3.9381800488174227E-3</v>
      </c>
      <c r="AO220">
        <v>6.7749948037843857E-3</v>
      </c>
      <c r="AP220">
        <v>5.911933342792588E-3</v>
      </c>
      <c r="AQ220">
        <v>8.6251774607845645E-3</v>
      </c>
      <c r="AR220">
        <v>1.978040893244941E-3</v>
      </c>
      <c r="AS220" s="86">
        <f t="shared" si="47"/>
        <v>36</v>
      </c>
      <c r="AY220" s="10">
        <f t="shared" si="48"/>
        <v>20</v>
      </c>
      <c r="AZ220">
        <v>5.4771182670702153E-3</v>
      </c>
      <c r="BA220">
        <v>3.6376060551894479E-3</v>
      </c>
      <c r="BB220">
        <v>1.111416123731462E-2</v>
      </c>
      <c r="BC220">
        <v>3.48320231553396E-3</v>
      </c>
      <c r="BD220">
        <v>4.7229163995654517E-3</v>
      </c>
      <c r="BE220" s="86">
        <f t="shared" si="49"/>
        <v>36</v>
      </c>
      <c r="BK220" s="10">
        <f t="shared" si="50"/>
        <v>20</v>
      </c>
      <c r="BL220">
        <v>1.001079806770706E-2</v>
      </c>
      <c r="BM220">
        <v>8.0168842222481662E-3</v>
      </c>
      <c r="BN220">
        <v>6.0930630837156691E-3</v>
      </c>
      <c r="BO220">
        <v>2.1958668984333241E-3</v>
      </c>
      <c r="BP220">
        <v>3.065375281991281E-3</v>
      </c>
      <c r="BQ220" s="86">
        <f t="shared" si="51"/>
        <v>36</v>
      </c>
      <c r="BW220" s="10">
        <f t="shared" si="52"/>
        <v>20</v>
      </c>
      <c r="BX220">
        <v>5.5662698001907743E-3</v>
      </c>
      <c r="BY220">
        <v>1.9664529301725991E-2</v>
      </c>
      <c r="BZ220">
        <v>8.9427006581482785E-3</v>
      </c>
      <c r="CA220">
        <v>2.8872556855974361E-3</v>
      </c>
      <c r="CB220">
        <v>2.0107775787197631E-3</v>
      </c>
      <c r="CC220" s="86">
        <f t="shared" si="53"/>
        <v>36</v>
      </c>
      <c r="CI220" s="10">
        <f t="shared" si="54"/>
        <v>20</v>
      </c>
      <c r="CJ220">
        <v>2.5748798224490589E-2</v>
      </c>
      <c r="CK220">
        <v>2.680058437002875E-2</v>
      </c>
      <c r="CL220">
        <v>3.4896877587105649E-2</v>
      </c>
      <c r="CM220">
        <v>1.052351711782799E-2</v>
      </c>
      <c r="CN220">
        <v>1.33967064629728E-2</v>
      </c>
    </row>
  </sheetData>
  <mergeCells count="5">
    <mergeCell ref="C14:G14"/>
    <mergeCell ref="I14:M14"/>
    <mergeCell ref="I1:K1"/>
    <mergeCell ref="O14:S14"/>
    <mergeCell ref="B12:G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6"/>
  <sheetViews>
    <sheetView workbookViewId="0">
      <selection activeCell="B2" sqref="B2"/>
    </sheetView>
  </sheetViews>
  <sheetFormatPr defaultRowHeight="12.75" x14ac:dyDescent="0.2"/>
  <cols>
    <col min="2" max="2" width="9.28515625" customWidth="1"/>
    <col min="4" max="4" width="9.28515625" customWidth="1"/>
    <col min="5" max="5" width="10.7109375" customWidth="1"/>
    <col min="6" max="6" width="9.5703125" customWidth="1"/>
    <col min="7" max="7" width="12.42578125" customWidth="1"/>
    <col min="8" max="8" width="8.5703125" bestFit="1" customWidth="1"/>
    <col min="9" max="9" width="7.85546875" bestFit="1" customWidth="1"/>
    <col min="10" max="11" width="12.42578125" customWidth="1"/>
    <col min="12" max="12" width="7.7109375" customWidth="1"/>
    <col min="13" max="13" width="10" customWidth="1"/>
    <col min="14" max="14" width="16" customWidth="1"/>
    <col min="19" max="19" width="14" bestFit="1" customWidth="1"/>
  </cols>
  <sheetData>
    <row r="1" spans="1:20" x14ac:dyDescent="0.2">
      <c r="A1" t="s">
        <v>54</v>
      </c>
      <c r="B1" s="9" t="s">
        <v>115</v>
      </c>
      <c r="C1" t="s">
        <v>12</v>
      </c>
      <c r="D1" t="s">
        <v>116</v>
      </c>
      <c r="E1" t="s">
        <v>7</v>
      </c>
      <c r="F1" t="s">
        <v>117</v>
      </c>
      <c r="G1" s="16" t="s">
        <v>65</v>
      </c>
      <c r="H1" s="16" t="s">
        <v>139</v>
      </c>
      <c r="I1" s="16" t="s">
        <v>140</v>
      </c>
      <c r="J1" t="s">
        <v>68</v>
      </c>
      <c r="K1" s="16" t="str">
        <f>O1</f>
        <v>General</v>
      </c>
      <c r="L1" t="s">
        <v>72</v>
      </c>
      <c r="M1" t="s">
        <v>64</v>
      </c>
      <c r="N1" t="s">
        <v>66</v>
      </c>
      <c r="O1" t="str">
        <f>'2) Referencedata'!T25</f>
        <v>General</v>
      </c>
    </row>
    <row r="2" spans="1:20" x14ac:dyDescent="0.2">
      <c r="A2">
        <v>4</v>
      </c>
      <c r="B2">
        <f>model!AH16</f>
        <v>7.685348136534606E-2</v>
      </c>
      <c r="C2">
        <f>model!AI16</f>
        <v>8.1503703233061151E-2</v>
      </c>
      <c r="D2">
        <f>model!AJ16</f>
        <v>0.125268617705835</v>
      </c>
      <c r="E2">
        <f>model!AK16</f>
        <v>0.13908264913380891</v>
      </c>
      <c r="F2">
        <f>model!AL16</f>
        <v>0.16757258899999999</v>
      </c>
      <c r="G2" s="9" t="str">
        <f>B1</f>
        <v>General</v>
      </c>
      <c r="H2" s="8">
        <v>4</v>
      </c>
      <c r="I2" s="8">
        <v>20</v>
      </c>
      <c r="J2" s="10">
        <f t="array" ref="J2:J46">INDEX($A$2:$A$34,MATCH($O$2,$A$2:$A$34,0)):INDEX($A$2:$A$34,MATCH($O$3,$A$2:$A$34,0))</f>
        <v>4</v>
      </c>
      <c r="K2" s="9">
        <f t="array" ref="K2:K46">INDEX($B$2:$F$34,MATCH($O$2,$A$2:$A$34,0),MATCH($K$1,$B$1:$F$1,0)):INDEX($B$2:$F$34,MATCH($O$3,$A$2:$A$34,0),MATCH($K$1,$B$1:$F$1,0))</f>
        <v>7.685348136534606E-2</v>
      </c>
      <c r="L2" s="9">
        <f>IF(ISBLANK(J2),"",IF(J2&lt;=$O$4,K2,""))</f>
        <v>7.685348136534606E-2</v>
      </c>
      <c r="M2">
        <f t="array" aca="1" ref="M2:M46" ca="1">OFFSET($L$1,1,0,COUNT($L$2:$L$46),1)</f>
        <v>7.685348136534606E-2</v>
      </c>
      <c r="N2" t="s">
        <v>70</v>
      </c>
      <c r="O2" cm="1">
        <f t="array" ref="O2">_xlfn.IFS(O1=G2,H2,O1=G3,H3,O1=G4,H4,O1=G5,H5,O1=G6,H6)</f>
        <v>4</v>
      </c>
    </row>
    <row r="3" spans="1:20" x14ac:dyDescent="0.2">
      <c r="A3">
        <f>A2+0.5</f>
        <v>4.5</v>
      </c>
      <c r="B3">
        <f>model!AH17</f>
        <v>7.3702508204244899E-2</v>
      </c>
      <c r="C3">
        <f>model!AI17</f>
        <v>7.752445972289447E-2</v>
      </c>
      <c r="D3">
        <f>model!AJ17</f>
        <v>0.1144831134060029</v>
      </c>
      <c r="E3">
        <f>model!AK17</f>
        <v>0.1230260370877186</v>
      </c>
      <c r="F3">
        <f>model!AL17</f>
        <v>0.14681244299999999</v>
      </c>
      <c r="G3" s="9" t="str">
        <f>C1</f>
        <v>Physical</v>
      </c>
      <c r="H3" s="8">
        <v>4</v>
      </c>
      <c r="I3" s="8">
        <v>20</v>
      </c>
      <c r="J3" s="10">
        <v>4.5</v>
      </c>
      <c r="K3" s="9">
        <v>7.3702508204244899E-2</v>
      </c>
      <c r="L3" s="9">
        <f>IF(ISBLANK(J2),"",IF(J2&lt;=$O$4,K3,""))</f>
        <v>7.3702508204244899E-2</v>
      </c>
      <c r="M3">
        <f ca="1"/>
        <v>7.3702508204244899E-2</v>
      </c>
      <c r="N3" t="s">
        <v>71</v>
      </c>
      <c r="O3" cm="1">
        <f t="array" ref="O3">_xlfn.IFS(O1=G2,I2,O1=G3,I3,O1=G4,I4,O1=G5,I5,O1=G6,I6)</f>
        <v>20</v>
      </c>
      <c r="S3" s="16"/>
      <c r="T3" s="16"/>
    </row>
    <row r="4" spans="1:20" x14ac:dyDescent="0.2">
      <c r="A4">
        <f t="shared" ref="A4:A34" si="0">A3+0.5</f>
        <v>5</v>
      </c>
      <c r="B4">
        <f>model!AH18</f>
        <v>6.3116271438539567E-2</v>
      </c>
      <c r="C4">
        <f>model!AI18</f>
        <v>6.5776317820023092E-2</v>
      </c>
      <c r="D4">
        <f>model!AJ18</f>
        <v>9.2937012124111026E-2</v>
      </c>
      <c r="E4">
        <f>model!AK18</f>
        <v>9.4167514756822293E-2</v>
      </c>
      <c r="F4">
        <f>model!AL18</f>
        <v>0.106573764</v>
      </c>
      <c r="G4" s="9" t="str">
        <f>D1</f>
        <v>Activity</v>
      </c>
      <c r="H4" s="8">
        <v>4</v>
      </c>
      <c r="I4" s="8">
        <v>20</v>
      </c>
      <c r="J4" s="10">
        <v>5</v>
      </c>
      <c r="K4" s="9">
        <v>6.3116271438539567E-2</v>
      </c>
      <c r="L4" s="9">
        <f t="shared" ref="L4:L35" si="1">IF(ISBLANK(J3),"",IF(J3&lt;=$O$4,K4,""))</f>
        <v>6.3116271438539567E-2</v>
      </c>
      <c r="M4">
        <f ca="1"/>
        <v>6.3116271438539567E-2</v>
      </c>
      <c r="N4" s="36" t="s">
        <v>15</v>
      </c>
      <c r="O4" t="str">
        <f t="array" ref="O4">_xlfn.IFS(O1=G2,model!C16,O1=G3,model!D16,O1=G4,model!E16,O1=G5,model!F16,O1=G6,model!G16)</f>
        <v/>
      </c>
    </row>
    <row r="5" spans="1:20" x14ac:dyDescent="0.2">
      <c r="A5">
        <f t="shared" si="0"/>
        <v>5.5</v>
      </c>
      <c r="B5">
        <f>model!AH19</f>
        <v>5.2475174696854178E-2</v>
      </c>
      <c r="C5">
        <f>model!AI19</f>
        <v>5.4139582272809621E-2</v>
      </c>
      <c r="D5">
        <f>model!AJ19</f>
        <v>7.222733596509881E-2</v>
      </c>
      <c r="E5">
        <f>model!AK19</f>
        <v>6.696493512374968E-2</v>
      </c>
      <c r="F5">
        <f>model!AL19</f>
        <v>7.7211168999999996E-2</v>
      </c>
      <c r="G5" s="9" t="str">
        <f>E1</f>
        <v>Mental</v>
      </c>
      <c r="H5" s="8">
        <v>4</v>
      </c>
      <c r="I5" s="8">
        <v>20</v>
      </c>
      <c r="J5" s="10">
        <v>5.5</v>
      </c>
      <c r="K5" s="9">
        <v>5.2475174696854178E-2</v>
      </c>
      <c r="L5" s="9">
        <f t="shared" si="1"/>
        <v>5.2475174696854178E-2</v>
      </c>
      <c r="M5">
        <f ca="1"/>
        <v>5.2475174696854178E-2</v>
      </c>
      <c r="N5" t="s">
        <v>18</v>
      </c>
      <c r="O5" s="8" t="str">
        <f t="array" ref="O5">_xlfn.IFS(O1=G2,model!C5,O1=G3,model!D5,O1=G4,model!E5,O1=G5,model!F5,O1=G6,model!G5)</f>
        <v/>
      </c>
    </row>
    <row r="6" spans="1:20" x14ac:dyDescent="0.2">
      <c r="A6">
        <f t="shared" si="0"/>
        <v>6</v>
      </c>
      <c r="B6">
        <f>model!AH20</f>
        <v>4.5451216156097908E-2</v>
      </c>
      <c r="C6">
        <f>model!AI20</f>
        <v>4.7261674187699332E-2</v>
      </c>
      <c r="D6">
        <f>model!AJ20</f>
        <v>5.6987338924830808E-2</v>
      </c>
      <c r="E6">
        <f>model!AK20</f>
        <v>5.0209402766672913E-2</v>
      </c>
      <c r="F6">
        <f>model!AL20</f>
        <v>6.2083861999999997E-2</v>
      </c>
      <c r="G6" s="9" t="str">
        <f>F1</f>
        <v>Motivation</v>
      </c>
      <c r="H6" s="8">
        <v>4</v>
      </c>
      <c r="I6" s="8">
        <v>20</v>
      </c>
      <c r="J6" s="10">
        <v>6</v>
      </c>
      <c r="K6" s="9">
        <v>4.5451216156097908E-2</v>
      </c>
      <c r="L6" s="9">
        <f t="shared" si="1"/>
        <v>4.5451216156097908E-2</v>
      </c>
      <c r="M6">
        <f ca="1"/>
        <v>4.5451216156097908E-2</v>
      </c>
      <c r="N6" t="s">
        <v>77</v>
      </c>
      <c r="O6" t="str" cm="1">
        <f t="array" ref="O6">_xlfn.IFS(O1=G2,'1) Scoringsværktøj'!$M$12,O1=G3,'1) Scoringsværktøj'!$M$15,O1=G4,'1) Scoringsværktøj'!$M$18,O1=G5,'1) Scoringsværktøj'!$M$21,O1=G6,'1) Scoringsværktøj'!$M$24)</f>
        <v>General Fatigue</v>
      </c>
    </row>
    <row r="7" spans="1:20" x14ac:dyDescent="0.2">
      <c r="A7">
        <f t="shared" si="0"/>
        <v>6.5</v>
      </c>
      <c r="B7">
        <f>model!AH21</f>
        <v>4.1263298669056522E-2</v>
      </c>
      <c r="C7">
        <f>model!AI21</f>
        <v>4.3536127625382733E-2</v>
      </c>
      <c r="D7">
        <f>model!AJ21</f>
        <v>4.7991216644636431E-2</v>
      </c>
      <c r="E7">
        <f>model!AK21</f>
        <v>4.4396222011229378E-2</v>
      </c>
      <c r="F7">
        <f>model!AL21</f>
        <v>5.507869E-2</v>
      </c>
      <c r="G7" s="9"/>
      <c r="H7" s="9"/>
      <c r="I7" s="9"/>
      <c r="J7" s="10">
        <v>6.5</v>
      </c>
      <c r="K7" s="9">
        <v>4.1263298669056522E-2</v>
      </c>
      <c r="L7" s="9">
        <f t="shared" si="1"/>
        <v>4.1263298669056522E-2</v>
      </c>
      <c r="M7">
        <f ca="1"/>
        <v>4.1263298669056522E-2</v>
      </c>
      <c r="N7" t="s">
        <v>84</v>
      </c>
      <c r="O7" t="str">
        <f>IFERROR("Scoren er højere end eller lig med "&amp;ROUND(O5,0)&amp;"% af referencegruppen.","Indtast testresultatet ovenfor")</f>
        <v>Indtast testresultatet ovenfor</v>
      </c>
    </row>
    <row r="8" spans="1:20" x14ac:dyDescent="0.2">
      <c r="A8">
        <f t="shared" si="0"/>
        <v>7</v>
      </c>
      <c r="B8">
        <f>model!AH22</f>
        <v>3.9402634796948277E-2</v>
      </c>
      <c r="C8">
        <f>model!AI22</f>
        <v>4.2266855171214597E-2</v>
      </c>
      <c r="D8">
        <f>model!AJ22</f>
        <v>4.3621968526054822E-2</v>
      </c>
      <c r="E8">
        <f>model!AK22</f>
        <v>4.2569974082491961E-2</v>
      </c>
      <c r="F8">
        <f>model!AL22</f>
        <v>4.9822071000000002E-2</v>
      </c>
      <c r="G8" s="9"/>
      <c r="H8" s="9"/>
      <c r="I8" s="9"/>
      <c r="J8" s="10">
        <v>7</v>
      </c>
      <c r="K8" s="9">
        <v>3.9402634796948277E-2</v>
      </c>
      <c r="L8" s="9">
        <f t="shared" si="1"/>
        <v>3.9402634796948277E-2</v>
      </c>
      <c r="M8">
        <f ca="1"/>
        <v>3.9402634796948277E-2</v>
      </c>
      <c r="N8" t="s">
        <v>85</v>
      </c>
      <c r="O8" t="str">
        <f>IFERROR("Scoren er lavere end "&amp;100-ROUND(O5,0)&amp;"% af referencegruppen.","Indtast testresultatet ovenfor")</f>
        <v>Indtast testresultatet ovenfor</v>
      </c>
    </row>
    <row r="9" spans="1:20" x14ac:dyDescent="0.2">
      <c r="A9">
        <f t="shared" si="0"/>
        <v>7.5</v>
      </c>
      <c r="B9">
        <f>model!AH23</f>
        <v>3.8926980809525037E-2</v>
      </c>
      <c r="C9">
        <f>model!AI23</f>
        <v>4.2661570889438609E-2</v>
      </c>
      <c r="D9">
        <f>model!AJ23</f>
        <v>4.0352005313361181E-2</v>
      </c>
      <c r="E9">
        <f>model!AK23</f>
        <v>4.2575239985176788E-2</v>
      </c>
      <c r="F9">
        <f>model!AL23</f>
        <v>5.0847636000000002E-2</v>
      </c>
      <c r="G9" s="9"/>
      <c r="H9" s="9"/>
      <c r="I9" s="9"/>
      <c r="J9" s="10">
        <v>7.5</v>
      </c>
      <c r="K9" s="9">
        <v>3.8926980809525037E-2</v>
      </c>
      <c r="L9" s="9">
        <f t="shared" si="1"/>
        <v>3.8926980809525037E-2</v>
      </c>
      <c r="M9">
        <f ca="1"/>
        <v>3.8926980809525037E-2</v>
      </c>
      <c r="N9" t="s">
        <v>83</v>
      </c>
      <c r="O9" s="7" t="s">
        <v>67</v>
      </c>
    </row>
    <row r="10" spans="1:20" x14ac:dyDescent="0.2">
      <c r="A10">
        <f t="shared" si="0"/>
        <v>8</v>
      </c>
      <c r="B10">
        <f>model!AH24</f>
        <v>3.8157772549521657E-2</v>
      </c>
      <c r="C10">
        <f>model!AI24</f>
        <v>4.2727227121484038E-2</v>
      </c>
      <c r="D10">
        <f>model!AJ24</f>
        <v>3.7471063352424207E-2</v>
      </c>
      <c r="E10">
        <f>model!AK24</f>
        <v>4.2419309263781409E-2</v>
      </c>
      <c r="F10">
        <f>model!AL24</f>
        <v>4.9244581000000003E-2</v>
      </c>
      <c r="G10" s="9"/>
      <c r="H10" s="9"/>
      <c r="I10" s="9"/>
      <c r="J10" s="10">
        <v>8</v>
      </c>
      <c r="K10" s="9">
        <v>3.8157772549521657E-2</v>
      </c>
      <c r="L10" s="9">
        <f t="shared" si="1"/>
        <v>3.8157772549521657E-2</v>
      </c>
      <c r="M10">
        <f ca="1"/>
        <v>3.8157772549521657E-2</v>
      </c>
      <c r="N10" t="s">
        <v>73</v>
      </c>
      <c r="O10" s="7" t="s">
        <v>69</v>
      </c>
    </row>
    <row r="11" spans="1:20" x14ac:dyDescent="0.2">
      <c r="A11">
        <f t="shared" si="0"/>
        <v>8.5</v>
      </c>
      <c r="B11">
        <f>model!AH25</f>
        <v>3.6647855664061597E-2</v>
      </c>
      <c r="C11">
        <f>model!AI25</f>
        <v>4.1241789282157708E-2</v>
      </c>
      <c r="D11">
        <f>model!AJ25</f>
        <v>3.3913524936706768E-2</v>
      </c>
      <c r="E11">
        <f>model!AK25</f>
        <v>4.0238642404312221E-2</v>
      </c>
      <c r="F11">
        <f>model!AL25</f>
        <v>4.3052338000000002E-2</v>
      </c>
      <c r="G11" s="9"/>
      <c r="H11" s="9"/>
      <c r="I11" s="9"/>
      <c r="J11" s="10">
        <v>8.5</v>
      </c>
      <c r="K11" s="9">
        <v>3.6647855664061597E-2</v>
      </c>
      <c r="L11" s="9">
        <f t="shared" si="1"/>
        <v>3.6647855664061597E-2</v>
      </c>
      <c r="M11">
        <f ca="1"/>
        <v>3.6647855664061597E-2</v>
      </c>
      <c r="N11" t="s">
        <v>75</v>
      </c>
      <c r="O11" s="7" t="s">
        <v>74</v>
      </c>
    </row>
    <row r="12" spans="1:20" x14ac:dyDescent="0.2">
      <c r="A12">
        <f t="shared" si="0"/>
        <v>9</v>
      </c>
      <c r="B12">
        <f>model!AH26</f>
        <v>3.4722539004916217E-2</v>
      </c>
      <c r="C12">
        <f>model!AI26</f>
        <v>3.8319335698402873E-2</v>
      </c>
      <c r="D12">
        <f>model!AJ26</f>
        <v>3.0450870704280798E-2</v>
      </c>
      <c r="E12">
        <f>model!AK26</f>
        <v>3.6658005546924763E-2</v>
      </c>
      <c r="F12">
        <f>model!AL26</f>
        <v>3.3377182999999998E-2</v>
      </c>
      <c r="G12" s="9"/>
      <c r="H12" s="9"/>
      <c r="I12" s="9"/>
      <c r="J12" s="10">
        <v>9</v>
      </c>
      <c r="K12" s="9">
        <v>3.4722539004916217E-2</v>
      </c>
      <c r="L12" s="9">
        <f t="shared" si="1"/>
        <v>3.4722539004916217E-2</v>
      </c>
      <c r="M12">
        <f ca="1"/>
        <v>3.4722539004916217E-2</v>
      </c>
      <c r="N12" t="s">
        <v>141</v>
      </c>
      <c r="O12" s="7" t="s">
        <v>76</v>
      </c>
    </row>
    <row r="13" spans="1:20" x14ac:dyDescent="0.2">
      <c r="A13">
        <f t="shared" si="0"/>
        <v>9.5</v>
      </c>
      <c r="B13">
        <f>model!AH27</f>
        <v>3.3015563330365691E-2</v>
      </c>
      <c r="C13">
        <f>model!AI27</f>
        <v>3.5130303806289308E-2</v>
      </c>
      <c r="D13">
        <f>model!AJ27</f>
        <v>2.735899732550191E-2</v>
      </c>
      <c r="E13">
        <f>model!AK27</f>
        <v>3.2220054478812141E-2</v>
      </c>
      <c r="F13">
        <f>model!AL27</f>
        <v>2.4502330999999999E-2</v>
      </c>
      <c r="G13" s="9"/>
      <c r="H13" s="9"/>
      <c r="I13" s="9"/>
      <c r="J13" s="10">
        <v>9.5</v>
      </c>
      <c r="K13" s="9">
        <v>3.3015563330365691E-2</v>
      </c>
      <c r="L13" s="9">
        <f t="shared" si="1"/>
        <v>3.3015563330365691E-2</v>
      </c>
      <c r="M13">
        <f ca="1"/>
        <v>3.3015563330365691E-2</v>
      </c>
    </row>
    <row r="14" spans="1:20" x14ac:dyDescent="0.2">
      <c r="A14">
        <f t="shared" si="0"/>
        <v>10</v>
      </c>
      <c r="B14">
        <f>model!AH28</f>
        <v>3.1727167634435637E-2</v>
      </c>
      <c r="C14">
        <f>model!AI28</f>
        <v>3.2117942614915719E-2</v>
      </c>
      <c r="D14">
        <f>model!AJ28</f>
        <v>2.492409290210798E-2</v>
      </c>
      <c r="E14">
        <f>model!AK28</f>
        <v>2.7695434548196261E-2</v>
      </c>
      <c r="F14">
        <f>model!AL28</f>
        <v>1.9055365000000001E-2</v>
      </c>
      <c r="G14" s="9"/>
      <c r="H14" s="9"/>
      <c r="I14" s="9"/>
      <c r="J14" s="10">
        <v>10</v>
      </c>
      <c r="K14" s="9">
        <v>3.1727167634435637E-2</v>
      </c>
      <c r="L14" s="9">
        <f t="shared" si="1"/>
        <v>3.1727167634435637E-2</v>
      </c>
      <c r="M14">
        <f ca="1"/>
        <v>3.1727167634435637E-2</v>
      </c>
    </row>
    <row r="15" spans="1:20" x14ac:dyDescent="0.2">
      <c r="A15">
        <f t="shared" si="0"/>
        <v>10.5</v>
      </c>
      <c r="B15">
        <f>model!AH29</f>
        <v>3.1312606206016863E-2</v>
      </c>
      <c r="C15">
        <f>model!AI29</f>
        <v>3.0300255030504961E-2</v>
      </c>
      <c r="D15">
        <f>model!AJ29</f>
        <v>2.296330938740062E-2</v>
      </c>
      <c r="E15">
        <f>model!AK29</f>
        <v>2.471442748731624E-2</v>
      </c>
      <c r="F15">
        <f>model!AL29</f>
        <v>1.5469754E-2</v>
      </c>
      <c r="G15" s="9"/>
      <c r="H15" s="9"/>
      <c r="I15" s="9"/>
      <c r="J15" s="10">
        <v>10.5</v>
      </c>
      <c r="K15" s="9">
        <v>3.1312606206016863E-2</v>
      </c>
      <c r="L15" s="9">
        <f t="shared" si="1"/>
        <v>3.1312606206016863E-2</v>
      </c>
      <c r="M15">
        <f ca="1"/>
        <v>3.1312606206016863E-2</v>
      </c>
    </row>
    <row r="16" spans="1:20" x14ac:dyDescent="0.2">
      <c r="A16">
        <f t="shared" si="0"/>
        <v>11</v>
      </c>
      <c r="B16">
        <f>model!AH30</f>
        <v>3.1222689089520691E-2</v>
      </c>
      <c r="C16">
        <f>model!AI30</f>
        <v>2.953138029328058E-2</v>
      </c>
      <c r="D16">
        <f>model!AJ30</f>
        <v>2.1655426222011741E-2</v>
      </c>
      <c r="E16">
        <f>model!AK30</f>
        <v>2.2861430355278059E-2</v>
      </c>
      <c r="F16">
        <f>model!AL30</f>
        <v>1.3596489E-2</v>
      </c>
      <c r="G16" s="9"/>
      <c r="H16" s="9"/>
      <c r="I16" s="9"/>
      <c r="J16" s="10">
        <v>11</v>
      </c>
      <c r="K16" s="9">
        <v>3.1222689089520691E-2</v>
      </c>
      <c r="L16" s="9">
        <f t="shared" si="1"/>
        <v>3.1222689089520691E-2</v>
      </c>
      <c r="M16">
        <f ca="1"/>
        <v>3.1222689089520691E-2</v>
      </c>
    </row>
    <row r="17" spans="1:13" x14ac:dyDescent="0.2">
      <c r="A17">
        <f t="shared" si="0"/>
        <v>11.5</v>
      </c>
      <c r="B17">
        <f>model!AH31</f>
        <v>3.10250421407905E-2</v>
      </c>
      <c r="C17">
        <f>model!AI31</f>
        <v>2.9140582119753681E-2</v>
      </c>
      <c r="D17">
        <f>model!AJ31</f>
        <v>2.077109399794734E-2</v>
      </c>
      <c r="E17">
        <f>model!AK31</f>
        <v>2.1568630675483601E-2</v>
      </c>
      <c r="F17">
        <f>model!AL31</f>
        <v>1.2903435E-2</v>
      </c>
      <c r="G17" s="9"/>
      <c r="H17" s="9"/>
      <c r="I17" s="9"/>
      <c r="J17" s="10">
        <v>11.5</v>
      </c>
      <c r="K17" s="9">
        <v>3.10250421407905E-2</v>
      </c>
      <c r="L17" s="9">
        <f t="shared" si="1"/>
        <v>3.10250421407905E-2</v>
      </c>
      <c r="M17">
        <f ca="1"/>
        <v>3.10250421407905E-2</v>
      </c>
    </row>
    <row r="18" spans="1:13" x14ac:dyDescent="0.2">
      <c r="A18">
        <f t="shared" si="0"/>
        <v>12</v>
      </c>
      <c r="B18">
        <f>model!AH32</f>
        <v>3.0453854362784499E-2</v>
      </c>
      <c r="C18">
        <f>model!AI32</f>
        <v>2.8727714751969328E-2</v>
      </c>
      <c r="D18">
        <f>model!AJ32</f>
        <v>1.9993843143560772E-2</v>
      </c>
      <c r="E18">
        <f>model!AK32</f>
        <v>2.0188563578468419E-2</v>
      </c>
      <c r="F18">
        <f>model!AL32</f>
        <v>1.2468217E-2</v>
      </c>
      <c r="G18" s="9"/>
      <c r="H18" s="9"/>
      <c r="I18" s="9"/>
      <c r="J18" s="10">
        <v>12</v>
      </c>
      <c r="K18" s="9">
        <v>3.0453854362784499E-2</v>
      </c>
      <c r="L18" s="9">
        <f t="shared" si="1"/>
        <v>3.0453854362784499E-2</v>
      </c>
      <c r="M18">
        <f ca="1"/>
        <v>3.0453854362784499E-2</v>
      </c>
    </row>
    <row r="19" spans="1:13" x14ac:dyDescent="0.2">
      <c r="A19">
        <f t="shared" si="0"/>
        <v>12.5</v>
      </c>
      <c r="B19">
        <f>model!AH33</f>
        <v>2.8749407973354641E-2</v>
      </c>
      <c r="C19">
        <f>model!AI33</f>
        <v>2.660534623077955E-2</v>
      </c>
      <c r="D19">
        <f>model!AJ33</f>
        <v>1.7857598866221819E-2</v>
      </c>
      <c r="E19">
        <f>model!AK33</f>
        <v>1.7407175349549778E-2</v>
      </c>
      <c r="F19">
        <f>model!AL33</f>
        <v>1.0188341E-2</v>
      </c>
      <c r="G19" s="9"/>
      <c r="H19" s="9"/>
      <c r="I19" s="9"/>
      <c r="J19" s="10">
        <v>12.5</v>
      </c>
      <c r="K19" s="9">
        <v>2.8749407973354641E-2</v>
      </c>
      <c r="L19" s="9">
        <f t="shared" si="1"/>
        <v>2.8749407973354641E-2</v>
      </c>
      <c r="M19">
        <f ca="1"/>
        <v>2.8749407973354641E-2</v>
      </c>
    </row>
    <row r="20" spans="1:13" x14ac:dyDescent="0.2">
      <c r="A20">
        <f t="shared" si="0"/>
        <v>13</v>
      </c>
      <c r="B20">
        <f>model!AH34</f>
        <v>2.6585877630867751E-2</v>
      </c>
      <c r="C20">
        <f>model!AI34</f>
        <v>2.372482301779796E-2</v>
      </c>
      <c r="D20">
        <f>model!AJ34</f>
        <v>1.530930554453511E-2</v>
      </c>
      <c r="E20">
        <f>model!AK34</f>
        <v>1.4479359282628111E-2</v>
      </c>
      <c r="F20">
        <f>model!AL34</f>
        <v>7.7655140000000003E-3</v>
      </c>
      <c r="G20" s="9"/>
      <c r="H20" s="9"/>
      <c r="I20" s="9"/>
      <c r="J20" s="10">
        <v>13</v>
      </c>
      <c r="K20" s="9">
        <v>2.6585877630867751E-2</v>
      </c>
      <c r="L20" s="9">
        <f t="shared" si="1"/>
        <v>2.6585877630867751E-2</v>
      </c>
      <c r="M20">
        <f ca="1"/>
        <v>2.6585877630867751E-2</v>
      </c>
    </row>
    <row r="21" spans="1:13" x14ac:dyDescent="0.2">
      <c r="A21">
        <f t="shared" si="0"/>
        <v>13.5</v>
      </c>
      <c r="B21">
        <f>model!AH35</f>
        <v>2.4118514811060351E-2</v>
      </c>
      <c r="C21">
        <f>model!AI35</f>
        <v>2.0552364690545971E-2</v>
      </c>
      <c r="D21">
        <f>model!AJ35</f>
        <v>1.280194721130053E-2</v>
      </c>
      <c r="E21">
        <f>model!AK35</f>
        <v>1.1876421382495089E-2</v>
      </c>
      <c r="F21">
        <f>model!AL35</f>
        <v>5.9203440000000001E-3</v>
      </c>
      <c r="G21" s="9"/>
      <c r="H21" s="9"/>
      <c r="I21" s="9"/>
      <c r="J21" s="10">
        <v>13.5</v>
      </c>
      <c r="K21" s="9">
        <v>2.4118514811060351E-2</v>
      </c>
      <c r="L21" s="9">
        <f>IF(ISBLANK(J20),"",IF(J20&lt;=$O$4,K21,""))</f>
        <v>2.4118514811060351E-2</v>
      </c>
      <c r="M21">
        <f ca="1"/>
        <v>2.4118514811060351E-2</v>
      </c>
    </row>
    <row r="22" spans="1:13" x14ac:dyDescent="0.2">
      <c r="A22">
        <f t="shared" si="0"/>
        <v>14</v>
      </c>
      <c r="B22">
        <f>model!AH36</f>
        <v>2.1556410232797831E-2</v>
      </c>
      <c r="C22">
        <f>model!AI36</f>
        <v>1.7762466459842779E-2</v>
      </c>
      <c r="D22">
        <f>model!AJ36</f>
        <v>1.0731844123397741E-2</v>
      </c>
      <c r="E22">
        <f>model!AK36</f>
        <v>1.00079884836194E-2</v>
      </c>
      <c r="F22">
        <f>model!AL36</f>
        <v>4.9311759999999998E-3</v>
      </c>
      <c r="G22" s="9"/>
      <c r="H22" s="9"/>
      <c r="I22" s="9"/>
      <c r="J22" s="10">
        <v>14</v>
      </c>
      <c r="K22" s="9">
        <v>2.1556410232797831E-2</v>
      </c>
      <c r="L22" s="9">
        <f t="shared" si="1"/>
        <v>2.1556410232797831E-2</v>
      </c>
      <c r="M22">
        <f ca="1"/>
        <v>2.1556410232797831E-2</v>
      </c>
    </row>
    <row r="23" spans="1:13" x14ac:dyDescent="0.2">
      <c r="A23">
        <f t="shared" si="0"/>
        <v>14.5</v>
      </c>
      <c r="B23">
        <f>model!AH37</f>
        <v>1.9365182984565101E-2</v>
      </c>
      <c r="C23">
        <f>model!AI37</f>
        <v>1.611351535549797E-2</v>
      </c>
      <c r="D23">
        <f>model!AJ37</f>
        <v>9.5411201013413972E-3</v>
      </c>
      <c r="E23">
        <f>model!AK37</f>
        <v>9.0654055128411414E-3</v>
      </c>
      <c r="F23">
        <f>model!AL37</f>
        <v>4.6377609999999998E-3</v>
      </c>
      <c r="G23" s="9"/>
      <c r="H23" s="9"/>
      <c r="I23" s="9"/>
      <c r="J23" s="10">
        <v>14.5</v>
      </c>
      <c r="K23" s="9">
        <v>1.9365182984565101E-2</v>
      </c>
      <c r="L23" s="9">
        <f t="shared" si="1"/>
        <v>1.9365182984565101E-2</v>
      </c>
      <c r="M23">
        <f ca="1"/>
        <v>1.9365182984565101E-2</v>
      </c>
    </row>
    <row r="24" spans="1:13" x14ac:dyDescent="0.2">
      <c r="A24">
        <f t="shared" si="0"/>
        <v>15</v>
      </c>
      <c r="B24">
        <f>model!AH38</f>
        <v>1.7593567002003031E-2</v>
      </c>
      <c r="C24">
        <f>model!AI38</f>
        <v>1.493931215618876E-2</v>
      </c>
      <c r="D24">
        <f>model!AJ38</f>
        <v>9.2523908074369846E-3</v>
      </c>
      <c r="E24">
        <f>model!AK38</f>
        <v>8.4569711014405597E-3</v>
      </c>
      <c r="F24">
        <f>model!AL38</f>
        <v>4.3483599999999999E-3</v>
      </c>
      <c r="G24" s="9"/>
      <c r="H24" s="9"/>
      <c r="I24" s="9"/>
      <c r="J24" s="10">
        <v>15</v>
      </c>
      <c r="K24" s="9">
        <v>1.7593567002003031E-2</v>
      </c>
      <c r="L24" s="9">
        <f t="shared" si="1"/>
        <v>1.7593567002003031E-2</v>
      </c>
      <c r="M24">
        <f ca="1"/>
        <v>1.7593567002003031E-2</v>
      </c>
    </row>
    <row r="25" spans="1:13" x14ac:dyDescent="0.2">
      <c r="A25">
        <f t="shared" si="0"/>
        <v>15.5</v>
      </c>
      <c r="B25">
        <f>model!AH39</f>
        <v>1.6183891296086099E-2</v>
      </c>
      <c r="C25">
        <f>model!AI39</f>
        <v>1.3998250735530231E-2</v>
      </c>
      <c r="D25">
        <f>model!AJ39</f>
        <v>9.3356794749267294E-3</v>
      </c>
      <c r="E25">
        <f>model!AK39</f>
        <v>7.9103320930728176E-3</v>
      </c>
      <c r="F25">
        <f>model!AL39</f>
        <v>3.630646E-3</v>
      </c>
      <c r="G25" s="9"/>
      <c r="H25" s="9"/>
      <c r="I25" s="9"/>
      <c r="J25" s="10">
        <v>15.5</v>
      </c>
      <c r="K25" s="9">
        <v>1.6183891296086099E-2</v>
      </c>
      <c r="L25" s="9">
        <f t="shared" si="1"/>
        <v>1.6183891296086099E-2</v>
      </c>
      <c r="M25">
        <f ca="1"/>
        <v>1.6183891296086099E-2</v>
      </c>
    </row>
    <row r="26" spans="1:13" x14ac:dyDescent="0.2">
      <c r="A26">
        <f t="shared" si="0"/>
        <v>16</v>
      </c>
      <c r="B26">
        <f>model!AH40</f>
        <v>1.484590072543948E-2</v>
      </c>
      <c r="C26">
        <f>model!AI40</f>
        <v>1.274297752557154E-2</v>
      </c>
      <c r="D26">
        <f>model!AJ40</f>
        <v>9.3478127082359634E-3</v>
      </c>
      <c r="E26">
        <f>model!AK40</f>
        <v>7.2237960802579559E-3</v>
      </c>
      <c r="F26">
        <f>model!AL40</f>
        <v>2.7266970000000001E-3</v>
      </c>
      <c r="G26" s="9"/>
      <c r="H26" s="9"/>
      <c r="I26" s="9"/>
      <c r="J26" s="10">
        <v>16</v>
      </c>
      <c r="K26" s="9">
        <v>1.484590072543948E-2</v>
      </c>
      <c r="L26" s="9">
        <f t="shared" si="1"/>
        <v>1.484590072543948E-2</v>
      </c>
      <c r="M26">
        <f ca="1"/>
        <v>1.484590072543948E-2</v>
      </c>
    </row>
    <row r="27" spans="1:13" x14ac:dyDescent="0.2">
      <c r="A27">
        <f t="shared" si="0"/>
        <v>16.5</v>
      </c>
      <c r="B27">
        <f>model!AH41</f>
        <v>1.3205744162356779E-2</v>
      </c>
      <c r="C27">
        <f>model!AI41</f>
        <v>1.099412415524372E-2</v>
      </c>
      <c r="D27">
        <f>model!AJ41</f>
        <v>8.2394338288795613E-3</v>
      </c>
      <c r="E27">
        <f>model!AK41</f>
        <v>6.0705262902607474E-3</v>
      </c>
      <c r="F27">
        <f>model!AL41</f>
        <v>1.852079E-3</v>
      </c>
      <c r="G27" s="9"/>
      <c r="H27" s="9"/>
      <c r="I27" s="9"/>
      <c r="J27" s="10">
        <v>16.5</v>
      </c>
      <c r="K27" s="9">
        <v>1.3205744162356779E-2</v>
      </c>
      <c r="L27" s="9">
        <f t="shared" si="1"/>
        <v>1.3205744162356779E-2</v>
      </c>
      <c r="M27">
        <f ca="1"/>
        <v>1.3205744162356779E-2</v>
      </c>
    </row>
    <row r="28" spans="1:13" x14ac:dyDescent="0.2">
      <c r="A28">
        <f t="shared" si="0"/>
        <v>17</v>
      </c>
      <c r="B28">
        <f>model!AH42</f>
        <v>1.1580306792439741E-2</v>
      </c>
      <c r="C28">
        <f>model!AI42</f>
        <v>9.2528341512969972E-3</v>
      </c>
      <c r="D28">
        <f>model!AJ42</f>
        <v>6.739350316626605E-3</v>
      </c>
      <c r="E28">
        <f>model!AK42</f>
        <v>4.955261733892582E-3</v>
      </c>
      <c r="F28">
        <f>model!AL42</f>
        <v>1.198092E-3</v>
      </c>
      <c r="G28" s="9"/>
      <c r="H28" s="9"/>
      <c r="I28" s="9"/>
      <c r="J28" s="10">
        <v>17</v>
      </c>
      <c r="K28" s="9">
        <v>1.1580306792439741E-2</v>
      </c>
      <c r="L28" s="9">
        <f t="shared" si="1"/>
        <v>1.1580306792439741E-2</v>
      </c>
      <c r="M28">
        <f ca="1"/>
        <v>1.1580306792439741E-2</v>
      </c>
    </row>
    <row r="29" spans="1:13" x14ac:dyDescent="0.2">
      <c r="A29">
        <f t="shared" si="0"/>
        <v>17.5</v>
      </c>
      <c r="B29">
        <f>model!AH43</f>
        <v>1.047433850912113E-2</v>
      </c>
      <c r="C29">
        <f>model!AI43</f>
        <v>8.0874878094149786E-3</v>
      </c>
      <c r="D29">
        <f>model!AJ43</f>
        <v>5.601186722139738E-3</v>
      </c>
      <c r="E29">
        <f>model!AK43</f>
        <v>4.1663540762619808E-3</v>
      </c>
      <c r="F29">
        <f>model!AL43</f>
        <v>9.1275899999999997E-4</v>
      </c>
      <c r="G29" s="9"/>
      <c r="H29" s="9"/>
      <c r="I29" s="9"/>
      <c r="J29" s="10">
        <v>17.5</v>
      </c>
      <c r="K29" s="9">
        <v>1.047433850912113E-2</v>
      </c>
      <c r="L29" s="9">
        <f t="shared" si="1"/>
        <v>1.047433850912113E-2</v>
      </c>
      <c r="M29">
        <f ca="1"/>
        <v>1.047433850912113E-2</v>
      </c>
    </row>
    <row r="30" spans="1:13" x14ac:dyDescent="0.2">
      <c r="A30">
        <f t="shared" si="0"/>
        <v>18</v>
      </c>
      <c r="B30">
        <f>model!AH44</f>
        <v>1.040450022681572E-2</v>
      </c>
      <c r="C30">
        <f>model!AI44</f>
        <v>8.2710195005417566E-3</v>
      </c>
      <c r="D30">
        <f>model!AJ44</f>
        <v>5.5795265848174614E-3</v>
      </c>
      <c r="E30">
        <f>model!AK44</f>
        <v>3.8786599596958718E-3</v>
      </c>
      <c r="F30">
        <f>model!AL44</f>
        <v>7.2345000000000005E-4</v>
      </c>
      <c r="G30" s="9"/>
      <c r="H30" s="9"/>
      <c r="I30" s="9"/>
      <c r="J30" s="10">
        <v>18</v>
      </c>
      <c r="K30" s="9">
        <v>1.040450022681572E-2</v>
      </c>
      <c r="L30" s="9">
        <f t="shared" si="1"/>
        <v>1.040450022681572E-2</v>
      </c>
      <c r="M30">
        <f ca="1"/>
        <v>1.040450022681572E-2</v>
      </c>
    </row>
    <row r="31" spans="1:13" x14ac:dyDescent="0.2">
      <c r="A31">
        <f t="shared" si="0"/>
        <v>18.5</v>
      </c>
      <c r="B31">
        <f>model!AH45</f>
        <v>1.125415916417797E-2</v>
      </c>
      <c r="C31">
        <f>model!AI45</f>
        <v>9.808343303743406E-3</v>
      </c>
      <c r="D31">
        <f>model!AJ45</f>
        <v>7.0907441931843222E-3</v>
      </c>
      <c r="E31">
        <f>model!AK45</f>
        <v>4.3516363442072494E-3</v>
      </c>
      <c r="F31">
        <f>model!AL45</f>
        <v>9.6586299999999996E-4</v>
      </c>
      <c r="G31" s="9"/>
      <c r="H31" s="9"/>
      <c r="I31" s="9"/>
      <c r="J31" s="10">
        <v>18.5</v>
      </c>
      <c r="K31" s="9">
        <v>1.125415916417797E-2</v>
      </c>
      <c r="L31" s="9">
        <f t="shared" si="1"/>
        <v>1.125415916417797E-2</v>
      </c>
      <c r="M31">
        <f ca="1"/>
        <v>1.125415916417797E-2</v>
      </c>
    </row>
    <row r="32" spans="1:13" x14ac:dyDescent="0.2">
      <c r="A32">
        <f t="shared" si="0"/>
        <v>19</v>
      </c>
      <c r="B32">
        <f>model!AH46</f>
        <v>1.3183161625873919E-2</v>
      </c>
      <c r="C32">
        <f>model!AI46</f>
        <v>1.271458385389589E-2</v>
      </c>
      <c r="D32">
        <f>model!AJ46</f>
        <v>1.015577160756006E-2</v>
      </c>
      <c r="E32">
        <f>model!AK46</f>
        <v>5.2967028738727193E-3</v>
      </c>
      <c r="F32">
        <f>model!AL46</f>
        <v>1.9841910000000002E-3</v>
      </c>
      <c r="G32" s="9"/>
      <c r="H32" s="9"/>
      <c r="I32" s="9"/>
      <c r="J32" s="10">
        <v>19</v>
      </c>
      <c r="K32" s="9">
        <v>1.3183161625873919E-2</v>
      </c>
      <c r="L32" s="9">
        <f t="shared" si="1"/>
        <v>1.3183161625873919E-2</v>
      </c>
      <c r="M32">
        <f ca="1"/>
        <v>1.3183161625873919E-2</v>
      </c>
    </row>
    <row r="33" spans="1:13" x14ac:dyDescent="0.2">
      <c r="A33">
        <f t="shared" si="0"/>
        <v>19.5</v>
      </c>
      <c r="B33">
        <f>model!AH47</f>
        <v>1.5340614294307201E-2</v>
      </c>
      <c r="C33">
        <f>model!AI47</f>
        <v>1.5753301078894801E-2</v>
      </c>
      <c r="D33">
        <f>model!AJ47</f>
        <v>1.366870563500013E-2</v>
      </c>
      <c r="E33">
        <f>model!AK47</f>
        <v>6.3439371613248693E-3</v>
      </c>
      <c r="F33">
        <f>model!AL47</f>
        <v>3.7538350000000001E-3</v>
      </c>
      <c r="G33" s="9"/>
      <c r="H33" s="9"/>
      <c r="I33" s="9"/>
      <c r="J33" s="10">
        <v>19.5</v>
      </c>
      <c r="K33" s="9">
        <v>1.5340614294307201E-2</v>
      </c>
      <c r="L33" s="9">
        <f t="shared" si="1"/>
        <v>1.5340614294307201E-2</v>
      </c>
      <c r="M33">
        <f ca="1"/>
        <v>1.5340614294307201E-2</v>
      </c>
    </row>
    <row r="34" spans="1:13" x14ac:dyDescent="0.2">
      <c r="A34">
        <f t="shared" si="0"/>
        <v>20</v>
      </c>
      <c r="B34">
        <f>model!AH48</f>
        <v>1.6081766449707428E-2</v>
      </c>
      <c r="C34">
        <f>model!AI48</f>
        <v>1.6772428333931871E-2</v>
      </c>
      <c r="D34">
        <f>model!AJ48</f>
        <v>1.537675169252266E-2</v>
      </c>
      <c r="E34">
        <f>model!AK48</f>
        <v>6.9529989883356227E-3</v>
      </c>
      <c r="F34">
        <f>model!AL48</f>
        <v>4.7889760000000003E-3</v>
      </c>
      <c r="G34" s="9"/>
      <c r="H34" s="9"/>
      <c r="I34" s="9"/>
      <c r="J34" s="10">
        <v>20</v>
      </c>
      <c r="K34" s="9">
        <v>1.6081766449707428E-2</v>
      </c>
      <c r="L34" s="9">
        <f t="shared" si="1"/>
        <v>1.6081766449707428E-2</v>
      </c>
      <c r="M34">
        <f ca="1"/>
        <v>1.6081766449707428E-2</v>
      </c>
    </row>
    <row r="35" spans="1:13" x14ac:dyDescent="0.2">
      <c r="G35" s="9"/>
      <c r="H35" s="9"/>
      <c r="I35" s="9"/>
      <c r="J35" s="8" t="e">
        <v>#N/A</v>
      </c>
      <c r="K35" s="9" t="e">
        <v>#N/A</v>
      </c>
      <c r="L35" s="9" t="e">
        <f t="shared" si="1"/>
        <v>#N/A</v>
      </c>
      <c r="M35" t="e">
        <f ca="1"/>
        <v>#N/A</v>
      </c>
    </row>
    <row r="36" spans="1:13" x14ac:dyDescent="0.2">
      <c r="G36" s="9"/>
      <c r="H36" s="9"/>
      <c r="I36" s="9"/>
      <c r="J36" s="8" t="e">
        <v>#N/A</v>
      </c>
      <c r="K36" s="9" t="e">
        <v>#N/A</v>
      </c>
      <c r="L36" s="9" t="e">
        <f>IF(ISBLANK(J36),"",IF(J36&lt;=$O$4,K36,""))</f>
        <v>#N/A</v>
      </c>
      <c r="M36" t="e">
        <f ca="1"/>
        <v>#N/A</v>
      </c>
    </row>
    <row r="37" spans="1:13" x14ac:dyDescent="0.2">
      <c r="G37" s="9"/>
      <c r="H37" s="9"/>
      <c r="I37" s="9"/>
      <c r="J37" s="8" t="e">
        <v>#N/A</v>
      </c>
      <c r="K37" s="9" t="e">
        <v>#N/A</v>
      </c>
      <c r="L37" s="9" t="e">
        <f t="shared" ref="L37:L46" si="2">IF(ISBLANK(J37),"",IF(J37&lt;=$O$4,K37,""))</f>
        <v>#N/A</v>
      </c>
      <c r="M37" t="e">
        <f ca="1"/>
        <v>#N/A</v>
      </c>
    </row>
    <row r="38" spans="1:13" x14ac:dyDescent="0.2">
      <c r="G38" s="9"/>
      <c r="H38" s="9"/>
      <c r="I38" s="9"/>
      <c r="J38" s="8" t="e">
        <v>#N/A</v>
      </c>
      <c r="K38" s="9" t="e">
        <v>#N/A</v>
      </c>
      <c r="L38" s="9" t="e">
        <f t="shared" si="2"/>
        <v>#N/A</v>
      </c>
      <c r="M38" t="e">
        <f ca="1"/>
        <v>#N/A</v>
      </c>
    </row>
    <row r="39" spans="1:13" x14ac:dyDescent="0.2">
      <c r="G39" s="9"/>
      <c r="H39" s="9"/>
      <c r="I39" s="9"/>
      <c r="J39" s="8" t="e">
        <v>#N/A</v>
      </c>
      <c r="K39" s="9" t="e">
        <v>#N/A</v>
      </c>
      <c r="L39" s="9" t="e">
        <f t="shared" si="2"/>
        <v>#N/A</v>
      </c>
      <c r="M39" t="e">
        <f ca="1"/>
        <v>#N/A</v>
      </c>
    </row>
    <row r="40" spans="1:13" x14ac:dyDescent="0.2">
      <c r="G40" s="9"/>
      <c r="H40" s="9"/>
      <c r="I40" s="9"/>
      <c r="J40" s="8" t="e">
        <v>#N/A</v>
      </c>
      <c r="K40" s="9" t="e">
        <v>#N/A</v>
      </c>
      <c r="L40" s="9" t="e">
        <f t="shared" si="2"/>
        <v>#N/A</v>
      </c>
      <c r="M40" t="e">
        <f ca="1"/>
        <v>#N/A</v>
      </c>
    </row>
    <row r="41" spans="1:13" x14ac:dyDescent="0.2">
      <c r="G41" s="9"/>
      <c r="H41" s="9"/>
      <c r="I41" s="9"/>
      <c r="J41" s="8" t="e">
        <v>#N/A</v>
      </c>
      <c r="K41" s="9" t="e">
        <v>#N/A</v>
      </c>
      <c r="L41" s="9" t="e">
        <f t="shared" si="2"/>
        <v>#N/A</v>
      </c>
      <c r="M41" t="e">
        <f ca="1"/>
        <v>#N/A</v>
      </c>
    </row>
    <row r="42" spans="1:13" x14ac:dyDescent="0.2">
      <c r="G42" s="9"/>
      <c r="H42" s="9"/>
      <c r="I42" s="9"/>
      <c r="J42" s="8" t="e">
        <v>#N/A</v>
      </c>
      <c r="K42" s="9" t="e">
        <v>#N/A</v>
      </c>
      <c r="L42" s="9" t="e">
        <f t="shared" si="2"/>
        <v>#N/A</v>
      </c>
      <c r="M42" t="e">
        <f ca="1"/>
        <v>#N/A</v>
      </c>
    </row>
    <row r="43" spans="1:13" x14ac:dyDescent="0.2">
      <c r="G43" s="9"/>
      <c r="H43" s="9"/>
      <c r="I43" s="9"/>
      <c r="J43" s="8" t="e">
        <v>#N/A</v>
      </c>
      <c r="K43" s="9" t="e">
        <v>#N/A</v>
      </c>
      <c r="L43" s="9" t="e">
        <f t="shared" si="2"/>
        <v>#N/A</v>
      </c>
      <c r="M43" t="e">
        <f ca="1"/>
        <v>#N/A</v>
      </c>
    </row>
    <row r="44" spans="1:13" x14ac:dyDescent="0.2">
      <c r="G44" s="9"/>
      <c r="H44" s="9"/>
      <c r="I44" s="9"/>
      <c r="J44" s="8" t="e">
        <v>#N/A</v>
      </c>
      <c r="K44" s="9" t="e">
        <v>#N/A</v>
      </c>
      <c r="L44" s="9" t="e">
        <f t="shared" si="2"/>
        <v>#N/A</v>
      </c>
      <c r="M44" t="e">
        <f ca="1"/>
        <v>#N/A</v>
      </c>
    </row>
    <row r="45" spans="1:13" x14ac:dyDescent="0.2">
      <c r="G45" s="9"/>
      <c r="H45" s="9"/>
      <c r="I45" s="9"/>
      <c r="J45" s="8" t="e">
        <v>#N/A</v>
      </c>
      <c r="K45" s="9" t="e">
        <v>#N/A</v>
      </c>
      <c r="L45" s="9" t="e">
        <f t="shared" si="2"/>
        <v>#N/A</v>
      </c>
      <c r="M45" t="e">
        <f ca="1"/>
        <v>#N/A</v>
      </c>
    </row>
    <row r="46" spans="1:13" x14ac:dyDescent="0.2">
      <c r="J46" s="8" t="e">
        <v>#N/A</v>
      </c>
      <c r="K46" s="9" t="e">
        <v>#N/A</v>
      </c>
      <c r="L46" s="9" t="e">
        <f t="shared" si="2"/>
        <v>#N/A</v>
      </c>
      <c r="M46" t="e">
        <f ca="1"/>
        <v>#N/A</v>
      </c>
    </row>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6D35-E781-4189-8F35-D7C1F34B050F}">
  <dimension ref="A1:E2"/>
  <sheetViews>
    <sheetView workbookViewId="0">
      <selection activeCell="H28" sqref="H28"/>
    </sheetView>
  </sheetViews>
  <sheetFormatPr defaultRowHeight="12.75" x14ac:dyDescent="0.2"/>
  <sheetData>
    <row r="1" spans="1:5" x14ac:dyDescent="0.2">
      <c r="A1" t="str">
        <f>master!D3</f>
        <v>General Fatigue</v>
      </c>
      <c r="B1" t="str">
        <f>master!D4</f>
        <v>Physical Fatigue</v>
      </c>
      <c r="C1" t="str">
        <f>master!D5</f>
        <v>Reduced Activity</v>
      </c>
      <c r="D1" t="str">
        <f>master!D6</f>
        <v>Mental Fatigue</v>
      </c>
      <c r="E1" t="str">
        <f>master!D7</f>
        <v>Reduced Motivation</v>
      </c>
    </row>
    <row r="2" spans="1:5" x14ac:dyDescent="0.2">
      <c r="A2" t="str">
        <f>model!C5</f>
        <v/>
      </c>
      <c r="B2" t="str">
        <f>model!D5</f>
        <v/>
      </c>
      <c r="C2" t="str">
        <f>model!E5</f>
        <v/>
      </c>
      <c r="D2" t="str">
        <f>model!F5</f>
        <v/>
      </c>
      <c r="E2" t="str">
        <f>model!G5</f>
        <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b299c646e582482fb9ed797643e81c70 xmlns="05e94842-7e9a-43d3-a023-a5f04f032842">
      <Terms xmlns="http://schemas.microsoft.com/office/infopath/2007/PartnerControls"/>
    </b299c646e582482fb9ed797643e81c70>
    <j41a025d9000464ea9cf6db962ba6d3c xmlns="05e94842-7e9a-43d3-a023-a5f04f032842">
      <Terms xmlns="http://schemas.microsoft.com/office/infopath/2007/PartnerControls"/>
    </j41a025d9000464ea9cf6db962ba6d3c>
    <Samtykkenummer xmlns="05e94842-7e9a-43d3-a023-a5f04f032842" xsi:nil="true"/>
    <l685540e4eb74f43a6beafdd4ed810f7 xmlns="05e94842-7e9a-43d3-a023-a5f04f032842">
      <Terms xmlns="http://schemas.microsoft.com/office/infopath/2007/PartnerControls"/>
    </l685540e4eb74f43a6beafdd4ed810f7>
    <PublishingExpirationDate xmlns="http://schemas.microsoft.com/sharepoint/v3" xsi:nil="true"/>
    <Samtykkenummer_x0020__x0028_EKSTRA_x0020_FELT_x0029_ xmlns="05e94842-7e9a-43d3-a023-a5f04f032842" xsi:nil="true"/>
    <PublishingStartDate xmlns="http://schemas.microsoft.com/sharepoint/v3" xsi:nil="true"/>
    <wic_System_Copyright xmlns="http://schemas.microsoft.com/sharepoint/v3/fields">Videnscenter for Neurorehabilitering</wic_System_Copyright>
    <TaxCatchAll xmlns="05e94842-7e9a-43d3-a023-a5f04f032842"/>
    <RightsOfUse2 xmlns="61212d54-f687-46ab-a2f8-4502a8be64c8">Fri afbenyttelse</RightsOfUse2>
    <_dlc_DocId xmlns="05e94842-7e9a-43d3-a023-a5f04f032842">HRIGSHOS-1991953618-10</_dlc_DocId>
    <_dlc_DocIdUrl xmlns="05e94842-7e9a-43d3-a023-a5f04f032842">
      <Url>https://www.rigshospitalet.dk/afdelinger-og-klinikker/neuro/vnr/toolbox/maaleinstrumenter/sporgeskemaer/_layouts/15/DocIdRedir.aspx?ID=HRIGSHOS-1991953618-10</Url>
      <Description>HRIGSHOS-1991953618-10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FDA78724BD565E4491B7D55D25AB339A" ma:contentTypeVersion="10" ma:contentTypeDescription="Opret et nyt dokument." ma:contentTypeScope="" ma:versionID="61fca7bb1929d9d8a7dab08e3525c95d">
  <xsd:schema xmlns:xsd="http://www.w3.org/2001/XMLSchema" xmlns:xs="http://www.w3.org/2001/XMLSchema" xmlns:p="http://schemas.microsoft.com/office/2006/metadata/properties" xmlns:ns1="http://schemas.microsoft.com/sharepoint/v3" xmlns:ns2="05e94842-7e9a-43d3-a023-a5f04f032842" xmlns:ns3="http://schemas.microsoft.com/sharepoint/v3/fields" xmlns:ns4="61212d54-f687-46ab-a2f8-4502a8be64c8" targetNamespace="http://schemas.microsoft.com/office/2006/metadata/properties" ma:root="true" ma:fieldsID="b54fc1722f7f2da8eb70e63f5b4f7b8b" ns1:_="" ns2:_="" ns3:_="" ns4:_="">
    <xsd:import namespace="http://schemas.microsoft.com/sharepoint/v3"/>
    <xsd:import namespace="05e94842-7e9a-43d3-a023-a5f04f032842"/>
    <xsd:import namespace="http://schemas.microsoft.com/sharepoint/v3/fields"/>
    <xsd:import namespace="61212d54-f687-46ab-a2f8-4502a8be64c8"/>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b299c646e582482fb9ed797643e81c70" minOccurs="0"/>
                <xsd:element ref="ns2:TaxCatchAll" minOccurs="0"/>
                <xsd:element ref="ns2:j41a025d9000464ea9cf6db962ba6d3c" minOccurs="0"/>
                <xsd:element ref="ns2:l685540e4eb74f43a6beafdd4ed810f7" minOccurs="0"/>
                <xsd:element ref="ns3:wic_System_Copyright" minOccurs="0"/>
                <xsd:element ref="ns4:RightsOfUse2"/>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e94842-7e9a-43d3-a023-a5f04f032842"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b299c646e582482fb9ed797643e81c70" ma:index="16" nillable="true" ma:taxonomy="true" ma:internalName="b299c646e582482fb9ed797643e81c70" ma:taxonomyFieldName="taggedtags" ma:displayName="Emneord" ma:fieldId="{b299c646-e582-482f-b9ed-797643e81c70}"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267e6105-1189-44f4-92ce-e65ff7f42478}" ma:internalName="TaxCatchAll" ma:showField="CatchAllData" ma:web="05e94842-7e9a-43d3-a023-a5f04f032842">
      <xsd:complexType>
        <xsd:complexContent>
          <xsd:extension base="dms:MultiChoiceLookup">
            <xsd:sequence>
              <xsd:element name="Value" type="dms:Lookup" maxOccurs="unbounded" minOccurs="0" nillable="true"/>
            </xsd:sequence>
          </xsd:extension>
        </xsd:complexContent>
      </xsd:complexType>
    </xsd:element>
    <xsd:element name="j41a025d9000464ea9cf6db962ba6d3c" ma:index="19" nillable="true" ma:taxonomy="true" ma:internalName="j41a025d9000464ea9cf6db962ba6d3c" ma:taxonomyFieldName="division" ma:displayName="Virksomhed" ma:fieldId="{341a025d-9000-464e-a9cf-6db962ba6d3c}"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685540e4eb74f43a6beafdd4ed810f7" ma:index="21" nillable="true" ma:taxonomy="true" ma:internalName="l685540e4eb74f43a6beafdd4ed810f7" ma:taxonomyFieldName="unit" ma:displayName="Enhed" ma:fieldId="{5685540e-4eb7-4f43-a6be-afdd4ed810f7}" ma:sspId="b335dc01-0bcb-4bbd-8ab2-2c7581a3c65b" ma:termSetId="b8e18aba-abaa-48d4-b0c3-8c4aae54e1fc" ma:anchorId="b325f6cf-19cb-4151-83ec-282b1c731b7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212d54-f687-46ab-a2f8-4502a8be64c8"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DBA0A633-9085-4C6C-865F-F3945B5BDA9E}">
  <ds:schemaRefs>
    <ds:schemaRef ds:uri="http://purl.org/dc/terms/"/>
    <ds:schemaRef ds:uri="http://purl.org/dc/dcmitype/"/>
    <ds:schemaRef ds:uri="http://schemas.microsoft.com/office/2006/documentManagement/types"/>
    <ds:schemaRef ds:uri="http://schemas.microsoft.com/sharepoint/v3/fields"/>
    <ds:schemaRef ds:uri="80026336-c05f-4fc4-b6c3-46b982e09963"/>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05e94842-7e9a-43d3-a023-a5f04f032842"/>
    <ds:schemaRef ds:uri="http://www.w3.org/XML/1998/namespace"/>
  </ds:schemaRefs>
</ds:datastoreItem>
</file>

<file path=customXml/itemProps2.xml><?xml version="1.0" encoding="utf-8"?>
<ds:datastoreItem xmlns:ds="http://schemas.openxmlformats.org/officeDocument/2006/customXml" ds:itemID="{9BD335DC-BC62-4EF8-8FF1-F74E0A1A233C}">
  <ds:schemaRefs>
    <ds:schemaRef ds:uri="http://schemas.microsoft.com/sharepoint/events"/>
  </ds:schemaRefs>
</ds:datastoreItem>
</file>

<file path=customXml/itemProps3.xml><?xml version="1.0" encoding="utf-8"?>
<ds:datastoreItem xmlns:ds="http://schemas.openxmlformats.org/officeDocument/2006/customXml" ds:itemID="{61E4DDEF-55A1-4B36-9964-547A6CD555F9}"/>
</file>

<file path=customXml/itemProps4.xml><?xml version="1.0" encoding="utf-8"?>
<ds:datastoreItem xmlns:ds="http://schemas.openxmlformats.org/officeDocument/2006/customXml" ds:itemID="{A8DE9370-2BB3-4A3D-B548-120847A37CCC}">
  <ds:schemaRefs>
    <ds:schemaRef ds:uri="http://schemas.microsoft.com/sharepoint/v3/contenttype/forms"/>
  </ds:schemaRefs>
</ds:datastoreItem>
</file>

<file path=customXml/itemProps5.xml><?xml version="1.0" encoding="utf-8"?>
<ds:datastoreItem xmlns:ds="http://schemas.openxmlformats.org/officeDocument/2006/customXml" ds:itemID="{B513E905-64FB-4AA8-9BB2-C61242C22E8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Forside</vt:lpstr>
      <vt:lpstr>1) Scoringsværktøj</vt:lpstr>
      <vt:lpstr>2) Referencedata</vt:lpstr>
      <vt:lpstr>3) Datagrundlag</vt:lpstr>
      <vt:lpstr>master</vt:lpstr>
      <vt:lpstr>normalitet</vt:lpstr>
      <vt:lpstr>model</vt:lpstr>
      <vt:lpstr>kurver</vt:lpstr>
      <vt:lpstr>spider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MFI-20 - scoringsprogram, dansk</dc:title>
  <dc:creator>frederik.dornonville.de.la.cour@regionh.dk</dc:creator>
  <cp:keywords>Videncenter for Neurorehabilitering</cp:keywords>
  <cp:lastModifiedBy>Maria Stove</cp:lastModifiedBy>
  <cp:lastPrinted>2023-09-25T08:37:31Z</cp:lastPrinted>
  <dcterms:created xsi:type="dcterms:W3CDTF">2011-02-01T13:52:42Z</dcterms:created>
  <dcterms:modified xsi:type="dcterms:W3CDTF">2024-09-30T11:20:23Z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HRIGSHOS-1051561294-7</vt:lpwstr>
  </property>
  <property fmtid="{D5CDD505-2E9C-101B-9397-08002B2CF9AE}" pid="3" name="_dlc_DocIdItemGuid">
    <vt:lpwstr>7e896a88-183d-4b31-8e70-24d14f402fcb</vt:lpwstr>
  </property>
  <property fmtid="{D5CDD505-2E9C-101B-9397-08002B2CF9AE}" pid="4" name="_dlc_DocIdUrl">
    <vt:lpwstr>https://www.rigshospitalet.dk/afdelinger-og-klinikker/neuro/vnr/_layouts/15/DocIdRedir.aspx?ID=HRIGSHOS-1051561294-7, HRIGSHOS-1051561294-7</vt:lpwstr>
  </property>
  <property fmtid="{D5CDD505-2E9C-101B-9397-08002B2CF9AE}" pid="5" name="unit">
    <vt:lpwstr/>
  </property>
  <property fmtid="{D5CDD505-2E9C-101B-9397-08002B2CF9AE}" pid="6" name="taggedtags">
    <vt:lpwstr/>
  </property>
  <property fmtid="{D5CDD505-2E9C-101B-9397-08002B2CF9AE}" pid="7" name="division">
    <vt:lpwstr/>
  </property>
  <property fmtid="{D5CDD505-2E9C-101B-9397-08002B2CF9AE}" pid="8" name="ContentTypeId">
    <vt:lpwstr>0x010100FDA78724BD565E4491B7D55D25AB339A</vt:lpwstr>
  </property>
</Properties>
</file>